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Basti\Desktop\"/>
    </mc:Choice>
  </mc:AlternateContent>
  <xr:revisionPtr revIDLastSave="0" documentId="8_{DFF93445-FE47-47BE-9C2C-E6982522A35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6" i="1" l="1"/>
  <c r="M86" i="1" s="1"/>
  <c r="O102" i="1"/>
  <c r="E104" i="1"/>
  <c r="K104" i="1" s="1"/>
  <c r="E103" i="1"/>
  <c r="K103" i="1" s="1"/>
  <c r="E102" i="1"/>
  <c r="K102" i="1" s="1"/>
  <c r="M84" i="1"/>
  <c r="M83" i="1"/>
  <c r="J84" i="1"/>
  <c r="J83" i="1"/>
  <c r="M82" i="1"/>
  <c r="J80" i="1"/>
  <c r="M80" i="1" s="1"/>
  <c r="M45" i="1"/>
  <c r="B43" i="1"/>
  <c r="B42" i="1"/>
  <c r="I104" i="1" l="1"/>
  <c r="N104" i="1" s="1"/>
  <c r="G104" i="1"/>
  <c r="L104" i="1" s="1"/>
  <c r="H104" i="1"/>
  <c r="J104" i="1"/>
  <c r="O104" i="1" s="1"/>
  <c r="H103" i="1"/>
  <c r="M103" i="1" s="1"/>
  <c r="I103" i="1"/>
  <c r="J103" i="1"/>
  <c r="G103" i="1"/>
  <c r="G102" i="1"/>
  <c r="H102" i="1"/>
  <c r="J102" i="1"/>
  <c r="I102" i="1"/>
  <c r="R43" i="1"/>
  <c r="S43" i="1"/>
  <c r="R42" i="1"/>
  <c r="S42" i="1"/>
  <c r="N102" i="1"/>
  <c r="P104" i="1"/>
  <c r="M104" i="1"/>
  <c r="P102" i="1"/>
  <c r="L102" i="1" l="1"/>
  <c r="M102" i="1"/>
  <c r="L103" i="1"/>
  <c r="O103" i="1"/>
  <c r="P103" i="1"/>
  <c r="N103" i="1"/>
  <c r="Q45" i="1" l="1"/>
  <c r="P45" i="1"/>
  <c r="O45" i="1"/>
  <c r="N45" i="1"/>
  <c r="L45" i="1"/>
  <c r="L43" i="1" l="1"/>
  <c r="M43" i="1"/>
  <c r="N43" i="1"/>
  <c r="O43" i="1"/>
  <c r="P43" i="1"/>
  <c r="Q43" i="1"/>
  <c r="O42" i="1"/>
  <c r="P42" i="1"/>
  <c r="Q42" i="1"/>
  <c r="L42" i="1"/>
  <c r="M42" i="1"/>
  <c r="N42" i="1"/>
  <c r="J81" i="1" l="1"/>
  <c r="Y71" i="1"/>
  <c r="Z71" i="1"/>
  <c r="AA71" i="1"/>
  <c r="AB71" i="1"/>
  <c r="AC71" i="1"/>
  <c r="AD71" i="1"/>
  <c r="X71" i="1"/>
  <c r="W71" i="1"/>
  <c r="V71" i="1"/>
  <c r="AA82" i="1"/>
  <c r="AG82" i="1" s="1"/>
  <c r="J82" i="1" l="1"/>
  <c r="J85" i="1" s="1"/>
  <c r="J87" i="1" s="1"/>
  <c r="J88" i="1" s="1"/>
  <c r="J89" i="1" s="1"/>
  <c r="M89" i="1" s="1"/>
  <c r="Q80" i="1" s="1"/>
  <c r="M81" i="1"/>
  <c r="AE82" i="1"/>
  <c r="AC82" i="1"/>
  <c r="M85" i="1" l="1"/>
  <c r="M87" i="1" l="1"/>
  <c r="M88" i="1" l="1"/>
  <c r="S82" i="1"/>
  <c r="S80" i="1" l="1"/>
  <c r="S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Sander</author>
    <author>Basti</author>
  </authors>
  <commentList>
    <comment ref="C34" authorId="0" shapeId="0" xr:uid="{2CD3D5F3-6CB9-4C05-9E3B-7BCF66B39343}">
      <text>
        <r>
          <rPr>
            <b/>
            <sz val="9"/>
            <color indexed="81"/>
            <rFont val="Segoe UI"/>
            <family val="2"/>
          </rPr>
          <t>Sebastian Sander:</t>
        </r>
        <r>
          <rPr>
            <sz val="9"/>
            <color indexed="81"/>
            <rFont val="Segoe UI"/>
            <family val="2"/>
          </rPr>
          <t xml:space="preserve">
in USD</t>
        </r>
      </text>
    </comment>
    <comment ref="D69" authorId="1" shapeId="0" xr:uid="{7263C88A-87C8-4035-8712-979E2E043AEE}">
      <text>
        <r>
          <rPr>
            <b/>
            <sz val="9"/>
            <color indexed="81"/>
            <rFont val="Segoe UI"/>
            <family val="2"/>
          </rPr>
          <t>Basti
KGV</t>
        </r>
      </text>
    </comment>
    <comment ref="J69" authorId="1" shapeId="0" xr:uid="{617E5CDD-FDA3-46F8-B650-F81EEE9E92DC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Entweder Histor Wachstum (EK) oder Analystenschätzung (EPS), je nachdem, was niedriger ist</t>
        </r>
      </text>
    </comment>
    <comment ref="L69" authorId="1" shapeId="0" xr:uid="{CC1D5B98-C068-4472-A9E0-9CCF6A9CF77E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Regel-1-Wachstum * 2</t>
        </r>
      </text>
    </comment>
    <comment ref="O69" authorId="1" shapeId="0" xr:uid="{77148E3D-D984-475D-B124-3656273C4792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Entweder das Standard-KGV oder histor. KGV, je nachdem, was niedriger ist.</t>
        </r>
      </text>
    </comment>
    <comment ref="Q78" authorId="1" shapeId="0" xr:uid="{52E7875B-FCC6-4FA5-82BC-818CFB162184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Kaufpreis für 15 % Rendite über 10 Jahre.
Erwarteter Aktienkurs nach 10 Jahren/4</t>
        </r>
      </text>
    </comment>
    <comment ref="S78" authorId="1" shapeId="0" xr:uid="{50514CAB-88E4-4F15-A479-D1197FEEF9FB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Sicherheitspolster von 50 und 30 Prozent</t>
        </r>
      </text>
    </comment>
    <comment ref="D80" authorId="0" shapeId="0" xr:uid="{A8E1AEAA-0612-46E9-BF41-010571DB98DF}">
      <text>
        <r>
          <rPr>
            <b/>
            <sz val="9"/>
            <color indexed="81"/>
            <rFont val="Segoe UI"/>
            <family val="2"/>
          </rPr>
          <t>Sebastian Sander:</t>
        </r>
        <r>
          <rPr>
            <sz val="9"/>
            <color indexed="81"/>
            <rFont val="Segoe UI"/>
            <family val="2"/>
          </rPr>
          <t xml:space="preserve">
20e</t>
        </r>
      </text>
    </comment>
    <comment ref="W80" authorId="1" shapeId="0" xr:uid="{C5C9A344-A019-4CC2-8BC0-894864F0285E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Pro Aktie</t>
        </r>
      </text>
    </comment>
    <comment ref="X80" authorId="1" shapeId="0" xr:uid="{E9E1B9A7-8D33-4234-8CBB-039AF692FEE0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Pro Aktie</t>
        </r>
      </text>
    </comment>
    <comment ref="Z80" authorId="1" shapeId="0" xr:uid="{52DC6133-2361-4772-8864-8B574C614F87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… in denen verkauft werden soll.</t>
        </r>
      </text>
    </comment>
    <comment ref="AE80" authorId="1" shapeId="0" xr:uid="{1C681494-DE84-4498-AEA9-A1CF6D80069C}">
      <text>
        <r>
          <rPr>
            <b/>
            <sz val="9"/>
            <color indexed="81"/>
            <rFont val="Segoe UI"/>
            <family val="2"/>
          </rPr>
          <t>Basti:</t>
        </r>
        <r>
          <rPr>
            <sz val="9"/>
            <color indexed="81"/>
            <rFont val="Segoe UI"/>
            <family val="2"/>
          </rPr>
          <t xml:space="preserve">
CAGR</t>
        </r>
      </text>
    </comment>
    <comment ref="D81" authorId="0" shapeId="0" xr:uid="{5A3D1C92-2683-4D04-964D-4EF07459BD7C}">
      <text>
        <r>
          <rPr>
            <b/>
            <sz val="9"/>
            <color indexed="81"/>
            <rFont val="Segoe UI"/>
            <family val="2"/>
          </rPr>
          <t>Sebastian Sander:</t>
        </r>
        <r>
          <rPr>
            <sz val="9"/>
            <color indexed="81"/>
            <rFont val="Segoe UI"/>
            <family val="2"/>
          </rPr>
          <t xml:space="preserve">
21e</t>
        </r>
      </text>
    </comment>
    <comment ref="D82" authorId="0" shapeId="0" xr:uid="{8EF0AA10-6000-4D19-A10B-0059F3432B56}">
      <text>
        <r>
          <rPr>
            <b/>
            <sz val="9"/>
            <color indexed="81"/>
            <rFont val="Segoe UI"/>
            <family val="2"/>
          </rPr>
          <t>Sebastian Sander:</t>
        </r>
        <r>
          <rPr>
            <sz val="9"/>
            <color indexed="81"/>
            <rFont val="Segoe UI"/>
            <family val="2"/>
          </rPr>
          <t xml:space="preserve">
22e</t>
        </r>
      </text>
    </comment>
  </commentList>
</comments>
</file>

<file path=xl/sharedStrings.xml><?xml version="1.0" encoding="utf-8"?>
<sst xmlns="http://schemas.openxmlformats.org/spreadsheetml/2006/main" count="139" uniqueCount="99">
  <si>
    <t>Sonstige Rechner: https://www.ruleoneinvesting.com/investment-calculators/</t>
  </si>
  <si>
    <t>Die vier Ms:</t>
  </si>
  <si>
    <t>Management:</t>
  </si>
  <si>
    <t>Moat (Burggraben):</t>
  </si>
  <si>
    <t>Meaning:</t>
  </si>
  <si>
    <t>Margin of Safety:</t>
  </si>
  <si>
    <t>Preismacht (Erhöhung),Preissetzung, Monopol, Betriebsgeheimnis, Marke, Umstieg</t>
  </si>
  <si>
    <t>"Wunderbar", durchschaubar, stolz auf den Besitz, das ganze Unternehmen besitzen wollen</t>
  </si>
  <si>
    <t>Die "großen 5"</t>
  </si>
  <si>
    <t>Umsatzwachstum</t>
  </si>
  <si>
    <t>Wachstum des FCF oder wenn unvorhersehbar des operativen Cashflows</t>
  </si>
  <si>
    <t>&gt; alle Werte jeweils über 10 % pro Jahr über 10 Jahre</t>
  </si>
  <si>
    <t>CEO googlen oder bei Forbes, WSJ, Fortune ect</t>
  </si>
  <si>
    <t>Fehler eingestehen, große, kühne Ziele, Vision, Gründer als CEO, Gehalt (Geschäftsbericht), Aktionärsbriefe</t>
  </si>
  <si>
    <t>Gewinnwachstum (EPS)</t>
  </si>
  <si>
    <t>Jahr</t>
  </si>
  <si>
    <t>Umsatz</t>
  </si>
  <si>
    <t>EPS</t>
  </si>
  <si>
    <t>Eigenkapital</t>
  </si>
  <si>
    <t>ROIC</t>
  </si>
  <si>
    <t>FCF</t>
  </si>
  <si>
    <t>Wachstum in %</t>
  </si>
  <si>
    <t>Empfehlunsgpreis berechnen</t>
  </si>
  <si>
    <t>Unternehmen</t>
  </si>
  <si>
    <t>Analystenschätzung (Wachstum)</t>
  </si>
  <si>
    <t>Histor. Wachstum (Eigenkapital)</t>
  </si>
  <si>
    <t>Stdrd.-KGV</t>
  </si>
  <si>
    <t>Hist. KGV</t>
  </si>
  <si>
    <t>Regel-1-KGV</t>
  </si>
  <si>
    <t>A</t>
  </si>
  <si>
    <t>B</t>
  </si>
  <si>
    <t>D</t>
  </si>
  <si>
    <t>C</t>
  </si>
  <si>
    <t>Aktuelles EPS</t>
  </si>
  <si>
    <t>Geschätzes Gewinnwachstum %</t>
  </si>
  <si>
    <t>Gesetzes Regel-1-KGV</t>
  </si>
  <si>
    <t>Geschätzes EPS in … Jahren</t>
  </si>
  <si>
    <t>Aktienkurs in … Jahren</t>
  </si>
  <si>
    <t>15 % Ertrag verdoppelt das Geld alle 5 Jahre</t>
  </si>
  <si>
    <t>Empfehlungspreis</t>
  </si>
  <si>
    <t>MOS-Preis</t>
  </si>
  <si>
    <t>Rechner: Was wird aus dem Geld nach X Jahren?</t>
  </si>
  <si>
    <t>Investiert:</t>
  </si>
  <si>
    <t>Kaufpreis:</t>
  </si>
  <si>
    <t>Verkaufspreis:</t>
  </si>
  <si>
    <t>Jahre:</t>
  </si>
  <si>
    <t>Endbetrag:</t>
  </si>
  <si>
    <t>jährl. Ertrag (total)</t>
  </si>
  <si>
    <t>jährl. Ertrag %</t>
  </si>
  <si>
    <t>Gesamt %</t>
  </si>
  <si>
    <t>Dividende</t>
  </si>
  <si>
    <t>Dividendenwachstum</t>
  </si>
  <si>
    <t>Ausschüttungsrate</t>
  </si>
  <si>
    <t>Wachstum Eigenkapital</t>
  </si>
  <si>
    <t>EPS-Wachstum</t>
  </si>
  <si>
    <t>Cashflow-Wachstum</t>
  </si>
  <si>
    <t>Barmittel</t>
  </si>
  <si>
    <t>Wachstumszahlen prozentual + ROIC + Barmittel</t>
  </si>
  <si>
    <t>Kapitalrendite (ROIC, ROC, ROI) = Nettobetriebsergebnis nach Steuern (NOPAT) / Eigenkapital + Schulden</t>
  </si>
  <si>
    <t>Barmittel/Schulden</t>
  </si>
  <si>
    <t>Unternehmensvergleich, Wachstumszahlen prozentual</t>
  </si>
  <si>
    <t>Unternehmensvergleich, Wachstumszahlen total</t>
  </si>
  <si>
    <t>Stochastik signalisiert aufstrebende Kauflinie? (Periode 14 Handelstage, gleitender Durchschnitt 5 Tage)</t>
  </si>
  <si>
    <t>Gleitende Durchschnitte signalisieren Einstieg ? (10 Tage Linie und 50 Tage Linie)</t>
  </si>
  <si>
    <t>MACD signalisiert Einstieg? (12-26-9 oder 8-17-9)</t>
  </si>
  <si>
    <t>Wachstum des Eigenkapitals (Buchwert/Aktie, BVPS)</t>
  </si>
  <si>
    <t>(Langfristige) Schulden durch den FCF innerhalb von 3 Jahren bezahlbar?</t>
  </si>
  <si>
    <t>50 % unter errechnetem Empfehlungspreis, einen Euro für 50 Cent kaufen</t>
  </si>
  <si>
    <t>Div. In 10 Jahren</t>
  </si>
  <si>
    <t>Div-Rendite in 10 J.</t>
  </si>
  <si>
    <t>Jahresendkurs (gerundet)</t>
  </si>
  <si>
    <t>KGV</t>
  </si>
  <si>
    <t>Kurs/Buchwert</t>
  </si>
  <si>
    <t>PEG ratio</t>
  </si>
  <si>
    <t>Regel-1-Wachstum</t>
  </si>
  <si>
    <t>19e</t>
  </si>
  <si>
    <t>20e</t>
  </si>
  <si>
    <t>21e</t>
  </si>
  <si>
    <t>n.a.</t>
  </si>
  <si>
    <t>Tabellendaten:</t>
  </si>
  <si>
    <t>KGV:</t>
  </si>
  <si>
    <t>KBV:</t>
  </si>
  <si>
    <t>Kurs/FCF</t>
  </si>
  <si>
    <t>Zahlen bei: Morningstar, MSN Money, Yahoo Finance, Zacks.com, Marketscreener</t>
  </si>
  <si>
    <t>Wachstumszahlen</t>
  </si>
  <si>
    <t>22e</t>
  </si>
  <si>
    <t>P/S ratio</t>
  </si>
  <si>
    <t>Umsatz 2030</t>
  </si>
  <si>
    <t>Gewinnmarge</t>
  </si>
  <si>
    <t>Wachstum p.a. (in %)</t>
  </si>
  <si>
    <t xml:space="preserve">Prognose Umsatzwachstum </t>
  </si>
  <si>
    <t>23e</t>
  </si>
  <si>
    <t>Square (SQ)</t>
  </si>
  <si>
    <t>23e:</t>
  </si>
  <si>
    <t>21e: 28</t>
  </si>
  <si>
    <t>22e: 470</t>
  </si>
  <si>
    <t>21e: 84</t>
  </si>
  <si>
    <t>21e: 85</t>
  </si>
  <si>
    <t>50-80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</si>
</sst>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7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0" xfId="0" applyNumberFormat="1" applyAlignment="1">
      <alignment horizontal="center" vertical="center"/>
    </xf>
    <xf numFmtId="9" fontId="0" fillId="0" borderId="0" xfId="1" applyFont="1"/>
    <xf numFmtId="0" fontId="0" fillId="0" borderId="2" xfId="0" applyBorder="1"/>
    <xf numFmtId="0" fontId="0" fillId="0" borderId="4" xfId="0" applyBorder="1"/>
    <xf numFmtId="9" fontId="0" fillId="0" borderId="1" xfId="1" applyFont="1" applyBorder="1"/>
    <xf numFmtId="0" fontId="0" fillId="0" borderId="10" xfId="0" applyFill="1" applyBorder="1"/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4" fillId="0" borderId="0" xfId="0" applyFont="1"/>
    <xf numFmtId="0" fontId="0" fillId="0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14" xfId="0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" fontId="0" fillId="0" borderId="14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0" fontId="0" fillId="0" borderId="10" xfId="0" applyNumberFormat="1" applyBorder="1"/>
    <xf numFmtId="9" fontId="0" fillId="0" borderId="1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0" fontId="6" fillId="0" borderId="0" xfId="0" applyFont="1"/>
    <xf numFmtId="164" fontId="5" fillId="0" borderId="14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7" fillId="0" borderId="0" xfId="0" applyFont="1"/>
    <xf numFmtId="164" fontId="0" fillId="0" borderId="14" xfId="0" applyNumberFormat="1" applyFont="1" applyBorder="1"/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/>
    <xf numFmtId="1" fontId="0" fillId="0" borderId="16" xfId="0" applyNumberFormat="1" applyBorder="1"/>
    <xf numFmtId="1" fontId="0" fillId="0" borderId="19" xfId="0" applyNumberFormat="1" applyBorder="1"/>
    <xf numFmtId="1" fontId="0" fillId="0" borderId="18" xfId="0" applyNumberForma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Wachstum Eigenkapital und 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Eigenkapital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Tabelle1!$L$36:$Q$36</c:f>
              <c:numCache>
                <c:formatCode>General</c:formatCode>
                <c:ptCount val="6"/>
                <c:pt idx="0">
                  <c:v>1.58</c:v>
                </c:pt>
                <c:pt idx="1">
                  <c:v>1.99</c:v>
                </c:pt>
                <c:pt idx="2">
                  <c:v>2.69</c:v>
                </c:pt>
                <c:pt idx="3">
                  <c:v>3.13</c:v>
                </c:pt>
                <c:pt idx="4">
                  <c:v>3.93</c:v>
                </c:pt>
                <c:pt idx="5">
                  <c:v>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8-4482-90F9-EC5D8865B57B}"/>
            </c:ext>
          </c:extLst>
        </c:ser>
        <c:ser>
          <c:idx val="1"/>
          <c:order val="1"/>
          <c:tx>
            <c:v>EPS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Tabelle1!$L$37:$Q$37</c:f>
              <c:numCache>
                <c:formatCode>General</c:formatCode>
                <c:ptCount val="6"/>
                <c:pt idx="0">
                  <c:v>-0.5</c:v>
                </c:pt>
                <c:pt idx="1">
                  <c:v>-0.17</c:v>
                </c:pt>
                <c:pt idx="2">
                  <c:v>-0.09</c:v>
                </c:pt>
                <c:pt idx="3">
                  <c:v>-0.03</c:v>
                </c:pt>
                <c:pt idx="4">
                  <c:v>0.11</c:v>
                </c:pt>
                <c:pt idx="5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8-4482-90F9-EC5D8865B5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8026840"/>
        <c:axId val="648017000"/>
      </c:lineChart>
      <c:catAx>
        <c:axId val="648026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8017000"/>
        <c:crosses val="autoZero"/>
        <c:auto val="1"/>
        <c:lblAlgn val="ctr"/>
        <c:lblOffset val="100"/>
        <c:noMultiLvlLbl val="0"/>
      </c:catAx>
      <c:valAx>
        <c:axId val="648017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802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EPS-Wachstum</a:t>
            </a:r>
            <a:r>
              <a:rPr lang="de-DE" baseline="0"/>
              <a:t> und Aktienkurs (4 - 7 geschätzt)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EPS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Tabelle1!$L$37:$S$37</c:f>
              <c:numCache>
                <c:formatCode>General</c:formatCode>
                <c:ptCount val="8"/>
                <c:pt idx="0">
                  <c:v>-0.5</c:v>
                </c:pt>
                <c:pt idx="1">
                  <c:v>-0.17</c:v>
                </c:pt>
                <c:pt idx="2">
                  <c:v>-0.09</c:v>
                </c:pt>
                <c:pt idx="3">
                  <c:v>-0.03</c:v>
                </c:pt>
                <c:pt idx="4">
                  <c:v>0.11</c:v>
                </c:pt>
                <c:pt idx="5">
                  <c:v>0.33</c:v>
                </c:pt>
                <c:pt idx="6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3-4356-89B7-A854502DC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96264"/>
        <c:axId val="831902496"/>
      </c:barChart>
      <c:lineChart>
        <c:grouping val="standard"/>
        <c:varyColors val="0"/>
        <c:ser>
          <c:idx val="1"/>
          <c:order val="1"/>
          <c:tx>
            <c:v>Jahresendkurs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Tabelle1!$L$41:$R$41</c:f>
              <c:numCache>
                <c:formatCode>General</c:formatCode>
                <c:ptCount val="7"/>
                <c:pt idx="0">
                  <c:v>13</c:v>
                </c:pt>
                <c:pt idx="1">
                  <c:v>35</c:v>
                </c:pt>
                <c:pt idx="2">
                  <c:v>58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3-4356-89B7-A854502DC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03152"/>
        <c:axId val="831900528"/>
      </c:lineChart>
      <c:catAx>
        <c:axId val="831896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1902496"/>
        <c:crosses val="autoZero"/>
        <c:auto val="1"/>
        <c:lblAlgn val="ctr"/>
        <c:lblOffset val="100"/>
        <c:noMultiLvlLbl val="0"/>
      </c:catAx>
      <c:valAx>
        <c:axId val="83190249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1896264"/>
        <c:crosses val="autoZero"/>
        <c:crossBetween val="between"/>
      </c:valAx>
      <c:valAx>
        <c:axId val="8319005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1903152"/>
        <c:crosses val="max"/>
        <c:crossBetween val="between"/>
      </c:valAx>
      <c:catAx>
        <c:axId val="831903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831900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EPS</a:t>
            </a:r>
            <a:r>
              <a:rPr lang="de-DE" baseline="0"/>
              <a:t> + Kurs + KGV (4 - 7 geschätzt)</a:t>
            </a:r>
            <a:endParaRPr lang="de-DE"/>
          </a:p>
        </c:rich>
      </c:tx>
      <c:layout>
        <c:manualLayout>
          <c:xMode val="edge"/>
          <c:yMode val="edge"/>
          <c:x val="0.2366467479769819"/>
          <c:y val="3.6228369951562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EPS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Tabelle1!$L$37:$R$37</c:f>
              <c:numCache>
                <c:formatCode>General</c:formatCode>
                <c:ptCount val="7"/>
                <c:pt idx="0">
                  <c:v>-0.5</c:v>
                </c:pt>
                <c:pt idx="1">
                  <c:v>-0.17</c:v>
                </c:pt>
                <c:pt idx="2">
                  <c:v>-0.09</c:v>
                </c:pt>
                <c:pt idx="3">
                  <c:v>-0.03</c:v>
                </c:pt>
                <c:pt idx="4">
                  <c:v>0.11</c:v>
                </c:pt>
                <c:pt idx="5">
                  <c:v>0.33</c:v>
                </c:pt>
                <c:pt idx="6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2D7-877F-3743B0D79120}"/>
            </c:ext>
          </c:extLst>
        </c:ser>
        <c:ser>
          <c:idx val="1"/>
          <c:order val="1"/>
          <c:tx>
            <c:v>Kurs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Tabelle1!$L$41:$R$41</c:f>
              <c:numCache>
                <c:formatCode>General</c:formatCode>
                <c:ptCount val="7"/>
                <c:pt idx="0">
                  <c:v>13</c:v>
                </c:pt>
                <c:pt idx="1">
                  <c:v>35</c:v>
                </c:pt>
                <c:pt idx="2">
                  <c:v>58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2-42D7-877F-3743B0D7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9744"/>
        <c:axId val="512298928"/>
      </c:barChart>
      <c:lineChart>
        <c:grouping val="standard"/>
        <c:varyColors val="0"/>
        <c:ser>
          <c:idx val="2"/>
          <c:order val="2"/>
          <c:tx>
            <c:v>KGV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Tabelle1!$L$42:$R$42</c:f>
              <c:numCache>
                <c:formatCode>0.0</c:formatCode>
                <c:ptCount val="7"/>
                <c:pt idx="0">
                  <c:v>-26</c:v>
                </c:pt>
                <c:pt idx="1">
                  <c:v>-205.88235294117646</c:v>
                </c:pt>
                <c:pt idx="2">
                  <c:v>-644.44444444444446</c:v>
                </c:pt>
                <c:pt idx="3">
                  <c:v>-2166.666666666667</c:v>
                </c:pt>
                <c:pt idx="4">
                  <c:v>590.90909090909088</c:v>
                </c:pt>
                <c:pt idx="5">
                  <c:v>196.96969696969697</c:v>
                </c:pt>
                <c:pt idx="6">
                  <c:v>98.484848484848484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2-42D7-877F-3743B0D7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95320"/>
        <c:axId val="512294992"/>
      </c:lineChart>
      <c:catAx>
        <c:axId val="512289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298928"/>
        <c:crosses val="autoZero"/>
        <c:auto val="1"/>
        <c:lblAlgn val="ctr"/>
        <c:lblOffset val="100"/>
        <c:noMultiLvlLbl val="0"/>
      </c:catAx>
      <c:valAx>
        <c:axId val="51229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289744"/>
        <c:crosses val="autoZero"/>
        <c:crossBetween val="between"/>
      </c:valAx>
      <c:valAx>
        <c:axId val="512294992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295320"/>
        <c:crosses val="max"/>
        <c:crossBetween val="between"/>
      </c:valAx>
      <c:catAx>
        <c:axId val="512295320"/>
        <c:scaling>
          <c:orientation val="minMax"/>
        </c:scaling>
        <c:delete val="1"/>
        <c:axPos val="b"/>
        <c:majorTickMark val="none"/>
        <c:minorTickMark val="none"/>
        <c:tickLblPos val="nextTo"/>
        <c:crossAx val="512294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Aktuelles KGV und Durchschnitt (2016 - 22e)</a:t>
            </a:r>
          </a:p>
        </c:rich>
      </c:tx>
      <c:layout>
        <c:manualLayout>
          <c:xMode val="edge"/>
          <c:yMode val="edge"/>
          <c:x val="0.15873032026085593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Akt. KGV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Tabelle1!$L$42:$R$42</c:f>
              <c:numCache>
                <c:formatCode>0.0</c:formatCode>
                <c:ptCount val="7"/>
                <c:pt idx="0">
                  <c:v>-26</c:v>
                </c:pt>
                <c:pt idx="1">
                  <c:v>-205.88235294117646</c:v>
                </c:pt>
                <c:pt idx="2">
                  <c:v>-644.44444444444446</c:v>
                </c:pt>
                <c:pt idx="3">
                  <c:v>-2166.666666666667</c:v>
                </c:pt>
                <c:pt idx="4">
                  <c:v>590.90909090909088</c:v>
                </c:pt>
                <c:pt idx="5">
                  <c:v>196.96969696969697</c:v>
                </c:pt>
                <c:pt idx="6">
                  <c:v>98.484848484848484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F-4F69-9C0B-3C252E71F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524064"/>
        <c:axId val="761518816"/>
      </c:barChart>
      <c:lineChart>
        <c:grouping val="standard"/>
        <c:varyColors val="0"/>
        <c:ser>
          <c:idx val="1"/>
          <c:order val="1"/>
          <c:tx>
            <c:v>Durchschnitt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Tabelle1!$S$156:$Z$156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F-4F69-9C0B-3C252E71F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24064"/>
        <c:axId val="761518816"/>
      </c:lineChart>
      <c:catAx>
        <c:axId val="761524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1518816"/>
        <c:crosses val="autoZero"/>
        <c:auto val="1"/>
        <c:lblAlgn val="ctr"/>
        <c:lblOffset val="100"/>
        <c:noMultiLvlLbl val="0"/>
      </c:catAx>
      <c:valAx>
        <c:axId val="7615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152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Aktuelles KBV + Durchschnitt (2016 - 22e)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Akt. KBV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Tabelle1!$L$43:$Q$43</c:f>
              <c:numCache>
                <c:formatCode>0.0</c:formatCode>
                <c:ptCount val="6"/>
                <c:pt idx="0">
                  <c:v>8.2278481012658222</c:v>
                </c:pt>
                <c:pt idx="1">
                  <c:v>17.587939698492463</c:v>
                </c:pt>
                <c:pt idx="2">
                  <c:v>21.561338289962826</c:v>
                </c:pt>
                <c:pt idx="3">
                  <c:v>20.766773162939298</c:v>
                </c:pt>
                <c:pt idx="4">
                  <c:v>16.539440203562339</c:v>
                </c:pt>
                <c:pt idx="5">
                  <c:v>12.670565302144249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7-47F6-A826-CF3DBAF92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264456"/>
        <c:axId val="503262160"/>
      </c:barChart>
      <c:lineChart>
        <c:grouping val="standard"/>
        <c:varyColors val="0"/>
        <c:ser>
          <c:idx val="1"/>
          <c:order val="1"/>
          <c:tx>
            <c:v>Durchschnitt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Tabelle1!$I$157:$N$157</c:f>
              <c:numCache>
                <c:formatCode>General</c:formatCode>
                <c:ptCount val="6"/>
                <c:pt idx="0">
                  <c:v>12.1</c:v>
                </c:pt>
                <c:pt idx="1">
                  <c:v>12.1</c:v>
                </c:pt>
                <c:pt idx="2">
                  <c:v>12.1</c:v>
                </c:pt>
                <c:pt idx="3">
                  <c:v>12.1</c:v>
                </c:pt>
                <c:pt idx="4">
                  <c:v>12.1</c:v>
                </c:pt>
                <c:pt idx="5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7-47F6-A826-CF3DBAF92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64456"/>
        <c:axId val="503262160"/>
      </c:lineChart>
      <c:catAx>
        <c:axId val="503264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262160"/>
        <c:crosses val="autoZero"/>
        <c:auto val="1"/>
        <c:lblAlgn val="ctr"/>
        <c:lblOffset val="100"/>
        <c:noMultiLvlLbl val="0"/>
      </c:catAx>
      <c:valAx>
        <c:axId val="50326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26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FCF + Kurs/FCF (2016 - 2021e)</a:t>
            </a:r>
          </a:p>
        </c:rich>
      </c:tx>
      <c:layout>
        <c:manualLayout>
          <c:xMode val="edge"/>
          <c:yMode val="edge"/>
          <c:x val="0.24533333333333332"/>
          <c:y val="2.777785741316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Free Cashflow gesamt/Aktie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Tabelle1!$K$39:$Q$39</c:f>
              <c:numCache>
                <c:formatCode>General</c:formatCode>
                <c:ptCount val="7"/>
                <c:pt idx="1">
                  <c:v>-2.2999999999999998</c:v>
                </c:pt>
                <c:pt idx="2">
                  <c:v>102</c:v>
                </c:pt>
                <c:pt idx="3">
                  <c:v>234</c:v>
                </c:pt>
                <c:pt idx="4">
                  <c:v>432</c:v>
                </c:pt>
                <c:pt idx="5">
                  <c:v>480</c:v>
                </c:pt>
                <c:pt idx="6">
                  <c:v>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C-4F71-B8A5-FD4505224298}"/>
            </c:ext>
          </c:extLst>
        </c:ser>
        <c:ser>
          <c:idx val="1"/>
          <c:order val="1"/>
          <c:tx>
            <c:v>Kurs / Cashflow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Tabelle1!$K$45:$Q$45</c:f>
              <c:numCache>
                <c:formatCode>0.0</c:formatCode>
                <c:ptCount val="7"/>
                <c:pt idx="1">
                  <c:v>0.38235294117647056</c:v>
                </c:pt>
                <c:pt idx="2">
                  <c:v>0.93582887700534767</c:v>
                </c:pt>
                <c:pt idx="3">
                  <c:v>0.95081967213114749</c:v>
                </c:pt>
                <c:pt idx="4">
                  <c:v>0.85526315789473684</c:v>
                </c:pt>
                <c:pt idx="5">
                  <c:v>0.65656565656565657</c:v>
                </c:pt>
                <c:pt idx="6">
                  <c:v>0.53278688524590168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C-4F71-B8A5-FD45052242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8810176"/>
        <c:axId val="648582672"/>
      </c:lineChart>
      <c:catAx>
        <c:axId val="838810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8582672"/>
        <c:crosses val="autoZero"/>
        <c:auto val="1"/>
        <c:lblAlgn val="ctr"/>
        <c:lblOffset val="100"/>
        <c:noMultiLvlLbl val="0"/>
      </c:catAx>
      <c:valAx>
        <c:axId val="648582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3881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Kursverlauf Square (Prognose 2020</a:t>
            </a:r>
            <a:r>
              <a:rPr lang="de-DE" baseline="0"/>
              <a:t> - 2030</a:t>
            </a:r>
            <a:r>
              <a:rPr lang="de-DE"/>
              <a:t>) x =</a:t>
            </a:r>
            <a:r>
              <a:rPr lang="de-DE" baseline="0"/>
              <a:t> Jahre, y = Kurs in USD</a:t>
            </a:r>
            <a:endParaRPr lang="de-DE"/>
          </a:p>
        </c:rich>
      </c:tx>
      <c:layout>
        <c:manualLayout>
          <c:xMode val="edge"/>
          <c:yMode val="edge"/>
          <c:x val="0.136458223972003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Tabelle1!$M$80:$M$89</c:f>
              <c:numCache>
                <c:formatCode>0</c:formatCode>
                <c:ptCount val="10"/>
                <c:pt idx="0">
                  <c:v>59</c:v>
                </c:pt>
                <c:pt idx="1">
                  <c:v>66</c:v>
                </c:pt>
                <c:pt idx="2">
                  <c:v>64.680000000000007</c:v>
                </c:pt>
                <c:pt idx="3">
                  <c:v>95.04000000000002</c:v>
                </c:pt>
                <c:pt idx="4">
                  <c:v>145.53</c:v>
                </c:pt>
                <c:pt idx="5">
                  <c:v>247.40100000000001</c:v>
                </c:pt>
                <c:pt idx="6">
                  <c:v>339.2928</c:v>
                </c:pt>
                <c:pt idx="7">
                  <c:v>508.93920000000008</c:v>
                </c:pt>
                <c:pt idx="8">
                  <c:v>614.96820000000014</c:v>
                </c:pt>
                <c:pt idx="9">
                  <c:v>891.70389000000011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6-49AE-A024-B7F31BD2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254288"/>
        <c:axId val="5032569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Tabelle1!$N$80:$N$89</c15:sqref>
                        </c15:formulaRef>
                      </c:ext>
                    </c:extLst>
                    <c:numCache>
                      <c:formatCode>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286-49AE-A024-B7F31BD2CFBB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Tabelle1!$O$80:$O$89</c15:sqref>
                        </c15:formulaRef>
                      </c:ext>
                    </c:extLst>
                    <c:numCache>
                      <c:formatCode>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6-49AE-A024-B7F31BD2CFBB}"/>
                  </c:ext>
                </c:extLst>
              </c15:ser>
            </c15:filteredLineSeries>
          </c:ext>
        </c:extLst>
      </c:lineChart>
      <c:catAx>
        <c:axId val="5032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256912"/>
        <c:crosses val="autoZero"/>
        <c:auto val="1"/>
        <c:lblAlgn val="ctr"/>
        <c:lblOffset val="100"/>
        <c:noMultiLvlLbl val="0"/>
      </c:catAx>
      <c:valAx>
        <c:axId val="50325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25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16</xdr:row>
      <xdr:rowOff>0</xdr:rowOff>
    </xdr:from>
    <xdr:to>
      <xdr:col>8</xdr:col>
      <xdr:colOff>476250</xdr:colOff>
      <xdr:row>31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2AB36D5-86AB-458C-B255-15B111073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16</xdr:row>
      <xdr:rowOff>9525</xdr:rowOff>
    </xdr:from>
    <xdr:to>
      <xdr:col>16</xdr:col>
      <xdr:colOff>381000</xdr:colOff>
      <xdr:row>31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93CE89C-FA95-494B-9027-AD4495BA4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16</xdr:row>
      <xdr:rowOff>0</xdr:rowOff>
    </xdr:from>
    <xdr:to>
      <xdr:col>24</xdr:col>
      <xdr:colOff>285750</xdr:colOff>
      <xdr:row>31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910A026-A452-46B4-A2EE-C1A8772A31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600075</xdr:colOff>
      <xdr:row>16</xdr:row>
      <xdr:rowOff>0</xdr:rowOff>
    </xdr:from>
    <xdr:to>
      <xdr:col>32</xdr:col>
      <xdr:colOff>295275</xdr:colOff>
      <xdr:row>31</xdr:row>
      <xdr:rowOff>28575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B58D3714-675D-4C9A-9915-C10BAAFDB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0</xdr:colOff>
      <xdr:row>15</xdr:row>
      <xdr:rowOff>161925</xdr:rowOff>
    </xdr:from>
    <xdr:to>
      <xdr:col>40</xdr:col>
      <xdr:colOff>304800</xdr:colOff>
      <xdr:row>31</xdr:row>
      <xdr:rowOff>9525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6A917D2-9CB8-4F7F-A0DC-C2F1C902F5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28575</xdr:colOff>
      <xdr:row>15</xdr:row>
      <xdr:rowOff>171450</xdr:rowOff>
    </xdr:from>
    <xdr:to>
      <xdr:col>48</xdr:col>
      <xdr:colOff>333375</xdr:colOff>
      <xdr:row>31</xdr:row>
      <xdr:rowOff>19050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659C4FDF-C78E-4268-8317-0EC8B5315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15240</xdr:colOff>
      <xdr:row>83</xdr:row>
      <xdr:rowOff>30480</xdr:rowOff>
    </xdr:from>
    <xdr:to>
      <xdr:col>26</xdr:col>
      <xdr:colOff>576943</xdr:colOff>
      <xdr:row>101</xdr:row>
      <xdr:rowOff>141514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A26E2B5-D806-407E-BD4C-8436F879C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9"/>
  <sheetViews>
    <sheetView tabSelected="1" zoomScale="70" zoomScaleNormal="70" workbookViewId="0">
      <selection activeCell="V12" sqref="V12"/>
    </sheetView>
  </sheetViews>
  <sheetFormatPr baseColWidth="10" defaultColWidth="8.88671875" defaultRowHeight="14.4" x14ac:dyDescent="0.3"/>
  <cols>
    <col min="2" max="3" width="13.21875" customWidth="1"/>
    <col min="6" max="6" width="10.5546875" customWidth="1"/>
    <col min="7" max="8" width="10.44140625" bestFit="1" customWidth="1"/>
    <col min="9" max="10" width="11.5546875" bestFit="1" customWidth="1"/>
    <col min="11" max="11" width="9.44140625" bestFit="1" customWidth="1"/>
    <col min="15" max="15" width="10.5546875" customWidth="1"/>
    <col min="16" max="16" width="8.21875" customWidth="1"/>
    <col min="17" max="17" width="8.88671875" customWidth="1"/>
    <col min="19" max="19" width="9.44140625" bestFit="1" customWidth="1"/>
    <col min="22" max="22" width="10.88671875" customWidth="1"/>
    <col min="31" max="31" width="11" customWidth="1"/>
    <col min="33" max="33" width="10.44140625" customWidth="1"/>
    <col min="34" max="34" width="12.109375" customWidth="1"/>
    <col min="35" max="36" width="12.6640625" bestFit="1" customWidth="1"/>
    <col min="37" max="38" width="13.77734375" bestFit="1" customWidth="1"/>
  </cols>
  <sheetData>
    <row r="1" spans="1:17" ht="23.4" x14ac:dyDescent="0.45">
      <c r="A1" t="s">
        <v>0</v>
      </c>
      <c r="L1" s="85" t="s">
        <v>92</v>
      </c>
    </row>
    <row r="2" spans="1:17" x14ac:dyDescent="0.3">
      <c r="A2" t="s">
        <v>83</v>
      </c>
    </row>
    <row r="5" spans="1:17" x14ac:dyDescent="0.3">
      <c r="B5" t="s">
        <v>1</v>
      </c>
      <c r="C5" t="s">
        <v>3</v>
      </c>
      <c r="E5" t="s">
        <v>6</v>
      </c>
    </row>
    <row r="6" spans="1:17" x14ac:dyDescent="0.3">
      <c r="C6" t="s">
        <v>2</v>
      </c>
      <c r="E6" t="s">
        <v>13</v>
      </c>
      <c r="Q6" t="s">
        <v>12</v>
      </c>
    </row>
    <row r="7" spans="1:17" x14ac:dyDescent="0.3">
      <c r="C7" t="s">
        <v>4</v>
      </c>
      <c r="E7" t="s">
        <v>7</v>
      </c>
    </row>
    <row r="8" spans="1:17" x14ac:dyDescent="0.3">
      <c r="C8" t="s">
        <v>5</v>
      </c>
      <c r="E8" t="s">
        <v>67</v>
      </c>
    </row>
    <row r="12" spans="1:17" x14ac:dyDescent="0.3">
      <c r="B12" t="s">
        <v>8</v>
      </c>
      <c r="C12" t="s">
        <v>58</v>
      </c>
    </row>
    <row r="13" spans="1:17" x14ac:dyDescent="0.3">
      <c r="C13" t="s">
        <v>9</v>
      </c>
    </row>
    <row r="14" spans="1:17" x14ac:dyDescent="0.3">
      <c r="C14" t="s">
        <v>65</v>
      </c>
    </row>
    <row r="15" spans="1:17" x14ac:dyDescent="0.3">
      <c r="C15" t="s">
        <v>10</v>
      </c>
      <c r="J15" t="s">
        <v>11</v>
      </c>
    </row>
    <row r="16" spans="1:17" x14ac:dyDescent="0.3">
      <c r="C16" t="s">
        <v>14</v>
      </c>
    </row>
    <row r="34" spans="2:20" ht="15" thickBot="1" x14ac:dyDescent="0.35">
      <c r="C34" t="s">
        <v>84</v>
      </c>
      <c r="G34">
        <v>11</v>
      </c>
      <c r="H34">
        <v>12</v>
      </c>
      <c r="I34">
        <v>13</v>
      </c>
      <c r="J34">
        <v>2014</v>
      </c>
      <c r="K34">
        <v>15</v>
      </c>
      <c r="L34">
        <v>16</v>
      </c>
      <c r="M34">
        <v>17</v>
      </c>
      <c r="N34">
        <v>2018</v>
      </c>
    </row>
    <row r="35" spans="2:20" ht="15" thickBot="1" x14ac:dyDescent="0.35">
      <c r="C35" s="4" t="s">
        <v>15</v>
      </c>
      <c r="D35" s="5"/>
      <c r="E35" s="7">
        <v>1</v>
      </c>
      <c r="F35" s="7">
        <v>2</v>
      </c>
      <c r="G35" s="7">
        <v>3</v>
      </c>
      <c r="H35" s="28">
        <v>4</v>
      </c>
      <c r="I35" s="7">
        <v>5</v>
      </c>
      <c r="J35" s="28">
        <v>6</v>
      </c>
      <c r="K35" s="7">
        <v>7</v>
      </c>
      <c r="L35" s="28">
        <v>8</v>
      </c>
      <c r="M35" s="7">
        <v>9</v>
      </c>
      <c r="N35" s="29">
        <v>10</v>
      </c>
      <c r="O35" t="s">
        <v>75</v>
      </c>
      <c r="P35" t="s">
        <v>76</v>
      </c>
      <c r="Q35" t="s">
        <v>77</v>
      </c>
      <c r="R35" t="s">
        <v>85</v>
      </c>
      <c r="S35" t="s">
        <v>91</v>
      </c>
    </row>
    <row r="36" spans="2:20" ht="15" thickBot="1" x14ac:dyDescent="0.35">
      <c r="C36" s="4" t="s">
        <v>53</v>
      </c>
      <c r="D36" s="5"/>
      <c r="E36" s="8"/>
      <c r="F36" s="8"/>
      <c r="G36" s="8"/>
      <c r="H36" s="5"/>
      <c r="I36" s="8"/>
      <c r="J36" s="5"/>
      <c r="K36" s="8"/>
      <c r="L36" s="5">
        <v>1.58</v>
      </c>
      <c r="M36" s="8">
        <v>1.99</v>
      </c>
      <c r="N36" s="6">
        <v>2.69</v>
      </c>
      <c r="O36" s="37">
        <v>3.13</v>
      </c>
      <c r="P36" s="37">
        <v>3.93</v>
      </c>
      <c r="Q36" s="37">
        <v>5.13</v>
      </c>
      <c r="R36" s="30"/>
      <c r="S36" s="30"/>
    </row>
    <row r="37" spans="2:20" ht="15" thickBot="1" x14ac:dyDescent="0.35">
      <c r="C37" s="4" t="s">
        <v>54</v>
      </c>
      <c r="D37" s="5"/>
      <c r="E37" s="8"/>
      <c r="F37" s="8"/>
      <c r="G37" s="8"/>
      <c r="H37" s="5"/>
      <c r="I37" s="8"/>
      <c r="J37" s="5"/>
      <c r="K37" s="8"/>
      <c r="L37" s="5">
        <v>-0.5</v>
      </c>
      <c r="M37" s="8">
        <v>-0.17</v>
      </c>
      <c r="N37" s="6">
        <v>-0.09</v>
      </c>
      <c r="O37" s="37">
        <v>-0.03</v>
      </c>
      <c r="P37" s="37">
        <v>0.11</v>
      </c>
      <c r="Q37" s="37">
        <v>0.33</v>
      </c>
      <c r="R37" s="30">
        <v>0.66</v>
      </c>
      <c r="S37" s="30"/>
    </row>
    <row r="38" spans="2:20" ht="15" thickBot="1" x14ac:dyDescent="0.35">
      <c r="C38" s="4" t="s">
        <v>9</v>
      </c>
      <c r="D38" s="5"/>
      <c r="E38" s="8"/>
      <c r="F38" s="8"/>
      <c r="G38" s="8"/>
      <c r="H38" s="5"/>
      <c r="I38" s="8"/>
      <c r="J38" s="5"/>
      <c r="K38" s="8"/>
      <c r="L38" s="5">
        <v>687</v>
      </c>
      <c r="M38" s="8">
        <v>984</v>
      </c>
      <c r="N38" s="6">
        <v>1588</v>
      </c>
      <c r="O38" s="37">
        <v>2226</v>
      </c>
      <c r="P38" s="37">
        <v>2841</v>
      </c>
      <c r="Q38" s="37">
        <v>3647</v>
      </c>
      <c r="R38" s="30"/>
      <c r="S38" s="30"/>
    </row>
    <row r="39" spans="2:20" ht="15" thickBot="1" x14ac:dyDescent="0.35">
      <c r="C39" s="4" t="s">
        <v>55</v>
      </c>
      <c r="D39" s="5"/>
      <c r="E39" s="8"/>
      <c r="F39" s="8"/>
      <c r="G39" s="8"/>
      <c r="H39" s="5"/>
      <c r="I39" s="8"/>
      <c r="J39" s="5"/>
      <c r="K39" s="8"/>
      <c r="L39" s="5">
        <v>-2.2999999999999998</v>
      </c>
      <c r="M39" s="8">
        <v>102</v>
      </c>
      <c r="N39" s="6">
        <v>234</v>
      </c>
      <c r="O39" s="37">
        <v>432</v>
      </c>
      <c r="P39" s="37">
        <v>480</v>
      </c>
      <c r="Q39" s="37">
        <v>758</v>
      </c>
    </row>
    <row r="40" spans="2:20" ht="15" thickBot="1" x14ac:dyDescent="0.35">
      <c r="C40" s="4" t="s">
        <v>56</v>
      </c>
      <c r="D40" s="5"/>
      <c r="E40" s="8"/>
      <c r="F40" s="5"/>
      <c r="G40" s="8"/>
      <c r="H40" s="5"/>
      <c r="I40" s="8"/>
      <c r="J40" s="5"/>
      <c r="K40" s="8"/>
      <c r="L40" s="5">
        <v>512</v>
      </c>
      <c r="M40" s="8">
        <v>335</v>
      </c>
      <c r="N40" s="6">
        <v>224</v>
      </c>
      <c r="O40" s="37">
        <v>427</v>
      </c>
      <c r="P40" s="37">
        <v>819</v>
      </c>
      <c r="Q40" s="37">
        <v>1466</v>
      </c>
    </row>
    <row r="41" spans="2:20" x14ac:dyDescent="0.3">
      <c r="C41" s="27" t="s">
        <v>70</v>
      </c>
      <c r="G41" s="32"/>
      <c r="H41" s="31"/>
      <c r="I41" s="32"/>
      <c r="J41" s="31"/>
      <c r="K41" s="32"/>
      <c r="L41" s="31">
        <v>13</v>
      </c>
      <c r="M41" s="31">
        <v>35</v>
      </c>
      <c r="N41" s="31">
        <v>58</v>
      </c>
      <c r="O41" s="31">
        <v>65</v>
      </c>
      <c r="P41" s="31">
        <v>65</v>
      </c>
      <c r="Q41" s="31">
        <v>65</v>
      </c>
      <c r="R41" s="31">
        <v>65</v>
      </c>
      <c r="S41" s="31">
        <v>65</v>
      </c>
    </row>
    <row r="42" spans="2:20" x14ac:dyDescent="0.3">
      <c r="B42" s="33">
        <f>SUM(L42:R42)/7</f>
        <v>-308.08997538409307</v>
      </c>
      <c r="C42" s="27" t="s">
        <v>71</v>
      </c>
      <c r="H42" s="33"/>
      <c r="I42" s="33"/>
      <c r="J42" s="33"/>
      <c r="K42" s="33"/>
      <c r="L42" s="33">
        <f t="shared" ref="I42:N42" si="0">L41/L37</f>
        <v>-26</v>
      </c>
      <c r="M42" s="33">
        <f t="shared" si="0"/>
        <v>-205.88235294117646</v>
      </c>
      <c r="N42" s="33">
        <f t="shared" si="0"/>
        <v>-644.44444444444446</v>
      </c>
      <c r="O42" s="33">
        <f>O41/O37</f>
        <v>-2166.666666666667</v>
      </c>
      <c r="P42" s="33">
        <f t="shared" ref="P42" si="1">P41/P37</f>
        <v>590.90909090909088</v>
      </c>
      <c r="Q42" s="33">
        <f t="shared" ref="Q42:S42" si="2">Q41/Q37</f>
        <v>196.96969696969697</v>
      </c>
      <c r="R42" s="33">
        <f t="shared" si="2"/>
        <v>98.484848484848484</v>
      </c>
      <c r="S42" s="33" t="e">
        <f t="shared" si="2"/>
        <v>#DIV/0!</v>
      </c>
    </row>
    <row r="43" spans="2:20" x14ac:dyDescent="0.3">
      <c r="B43" s="33">
        <f>SUM(L43:Q43)/8</f>
        <v>12.169238094795874</v>
      </c>
      <c r="C43" s="27" t="s">
        <v>72</v>
      </c>
      <c r="H43" s="33"/>
      <c r="I43" s="33"/>
      <c r="J43" s="33"/>
      <c r="K43" s="33"/>
      <c r="L43" s="33">
        <f t="shared" ref="I43:S43" si="3">L41/L36</f>
        <v>8.2278481012658222</v>
      </c>
      <c r="M43" s="33">
        <f t="shared" si="3"/>
        <v>17.587939698492463</v>
      </c>
      <c r="N43" s="33">
        <f t="shared" si="3"/>
        <v>21.561338289962826</v>
      </c>
      <c r="O43" s="33">
        <f t="shared" si="3"/>
        <v>20.766773162939298</v>
      </c>
      <c r="P43" s="33">
        <f t="shared" si="3"/>
        <v>16.539440203562339</v>
      </c>
      <c r="Q43" s="33">
        <f t="shared" si="3"/>
        <v>12.670565302144249</v>
      </c>
      <c r="R43" s="33" t="e">
        <f t="shared" si="3"/>
        <v>#DIV/0!</v>
      </c>
      <c r="S43" s="33" t="e">
        <f t="shared" si="3"/>
        <v>#DIV/0!</v>
      </c>
    </row>
    <row r="44" spans="2:20" x14ac:dyDescent="0.3">
      <c r="C44" s="27" t="s">
        <v>73</v>
      </c>
      <c r="L44" s="31"/>
      <c r="M44" s="31"/>
      <c r="N44" s="31"/>
      <c r="O44" s="31">
        <v>2.7</v>
      </c>
      <c r="P44" s="31">
        <v>2.9</v>
      </c>
      <c r="Q44" s="31">
        <v>2.1</v>
      </c>
      <c r="R44">
        <v>1.18</v>
      </c>
    </row>
    <row r="45" spans="2:20" x14ac:dyDescent="0.3">
      <c r="C45" s="27" t="s">
        <v>82</v>
      </c>
      <c r="K45" s="33"/>
      <c r="L45" s="33">
        <f>L41/34</f>
        <v>0.38235294117647056</v>
      </c>
      <c r="M45" s="33">
        <f>M41/37.4</f>
        <v>0.93582887700534767</v>
      </c>
      <c r="N45" s="33">
        <f>N41/61</f>
        <v>0.95081967213114749</v>
      </c>
      <c r="O45" s="33">
        <f>O41/76</f>
        <v>0.85526315789473684</v>
      </c>
      <c r="P45" s="33">
        <f>P41/99</f>
        <v>0.65656565656565657</v>
      </c>
      <c r="Q45" s="33">
        <f>Q41/122</f>
        <v>0.53278688524590168</v>
      </c>
    </row>
    <row r="46" spans="2:20" x14ac:dyDescent="0.3">
      <c r="C46" s="27" t="s">
        <v>86</v>
      </c>
      <c r="L46" s="38">
        <v>3.5</v>
      </c>
      <c r="M46" s="38">
        <v>8</v>
      </c>
      <c r="N46" s="38">
        <v>9</v>
      </c>
      <c r="O46" s="38">
        <v>7.5</v>
      </c>
      <c r="P46" s="38"/>
      <c r="Q46" s="38"/>
      <c r="R46" s="38"/>
      <c r="S46" s="38"/>
      <c r="T46" s="38"/>
    </row>
    <row r="47" spans="2:20" x14ac:dyDescent="0.3">
      <c r="C47" s="27"/>
    </row>
    <row r="49" spans="2:24" x14ac:dyDescent="0.3">
      <c r="C49" t="s">
        <v>57</v>
      </c>
    </row>
    <row r="50" spans="2:24" ht="15" thickBot="1" x14ac:dyDescent="0.35"/>
    <row r="51" spans="2:24" x14ac:dyDescent="0.3">
      <c r="C51" s="57" t="s">
        <v>19</v>
      </c>
      <c r="D51" s="58"/>
      <c r="E51" s="57" t="s">
        <v>18</v>
      </c>
      <c r="F51" s="59"/>
      <c r="G51" s="59"/>
      <c r="H51" s="58"/>
      <c r="I51" s="57" t="s">
        <v>17</v>
      </c>
      <c r="J51" s="59"/>
      <c r="K51" s="59"/>
      <c r="L51" s="58"/>
      <c r="M51" s="57" t="s">
        <v>16</v>
      </c>
      <c r="N51" s="59"/>
      <c r="O51" s="59"/>
      <c r="P51" s="58"/>
      <c r="Q51" s="57" t="s">
        <v>20</v>
      </c>
      <c r="R51" s="59"/>
      <c r="S51" s="59"/>
      <c r="T51" s="58"/>
      <c r="U51" s="57" t="s">
        <v>59</v>
      </c>
      <c r="V51" s="59"/>
      <c r="W51" s="59"/>
      <c r="X51" s="58"/>
    </row>
    <row r="52" spans="2:24" x14ac:dyDescent="0.3">
      <c r="B52" t="s">
        <v>15</v>
      </c>
      <c r="C52" s="35">
        <v>5</v>
      </c>
      <c r="D52" s="36">
        <v>1</v>
      </c>
      <c r="E52" s="35">
        <v>8</v>
      </c>
      <c r="F52" s="34">
        <v>3</v>
      </c>
      <c r="G52" s="34">
        <v>2</v>
      </c>
      <c r="H52" s="36">
        <v>1</v>
      </c>
      <c r="I52" s="35">
        <v>8</v>
      </c>
      <c r="J52" s="34">
        <v>3</v>
      </c>
      <c r="K52" s="34">
        <v>2</v>
      </c>
      <c r="L52" s="36">
        <v>1</v>
      </c>
      <c r="M52" s="35">
        <v>8</v>
      </c>
      <c r="N52" s="34">
        <v>3</v>
      </c>
      <c r="O52" s="34">
        <v>2</v>
      </c>
      <c r="P52" s="36">
        <v>1</v>
      </c>
      <c r="Q52" s="35">
        <v>7</v>
      </c>
      <c r="R52" s="34">
        <v>3</v>
      </c>
      <c r="S52" s="34">
        <v>2</v>
      </c>
      <c r="T52" s="36">
        <v>1</v>
      </c>
      <c r="U52" s="35">
        <v>7</v>
      </c>
      <c r="V52" s="34">
        <v>3</v>
      </c>
      <c r="W52" s="34">
        <v>2</v>
      </c>
      <c r="X52" s="36">
        <v>1</v>
      </c>
    </row>
    <row r="53" spans="2:24" ht="15" thickBot="1" x14ac:dyDescent="0.35">
      <c r="B53" t="s">
        <v>21</v>
      </c>
      <c r="C53" s="1"/>
      <c r="D53" s="2">
        <v>-1</v>
      </c>
      <c r="E53" s="1"/>
      <c r="F53" s="3">
        <v>25.6</v>
      </c>
      <c r="G53" s="3">
        <v>25.4</v>
      </c>
      <c r="H53" s="2">
        <v>16.399999999999999</v>
      </c>
      <c r="I53" s="1"/>
      <c r="J53" s="3" t="s">
        <v>78</v>
      </c>
      <c r="K53" s="3" t="s">
        <v>78</v>
      </c>
      <c r="L53" s="2" t="s">
        <v>78</v>
      </c>
      <c r="M53" s="1"/>
      <c r="N53" s="3">
        <v>48</v>
      </c>
      <c r="O53" s="3">
        <v>50</v>
      </c>
      <c r="P53" s="2">
        <v>40</v>
      </c>
      <c r="Q53" s="1"/>
      <c r="R53" s="3" t="s">
        <v>78</v>
      </c>
      <c r="S53" s="3">
        <v>105</v>
      </c>
      <c r="T53" s="2">
        <v>84</v>
      </c>
      <c r="U53" s="1"/>
      <c r="V53" s="3">
        <v>0</v>
      </c>
      <c r="W53" s="3">
        <v>13</v>
      </c>
      <c r="X53" s="2">
        <v>90</v>
      </c>
    </row>
    <row r="54" spans="2:24" x14ac:dyDescent="0.3">
      <c r="H54" t="s">
        <v>94</v>
      </c>
      <c r="L54" t="s">
        <v>95</v>
      </c>
      <c r="P54" t="s">
        <v>94</v>
      </c>
      <c r="T54" t="s">
        <v>96</v>
      </c>
      <c r="X54" t="s">
        <v>97</v>
      </c>
    </row>
    <row r="55" spans="2:24" x14ac:dyDescent="0.3">
      <c r="H55" t="s">
        <v>93</v>
      </c>
      <c r="P55" t="s">
        <v>93</v>
      </c>
    </row>
    <row r="66" spans="1:33" x14ac:dyDescent="0.3">
      <c r="C66" t="s">
        <v>22</v>
      </c>
      <c r="F66" t="s">
        <v>38</v>
      </c>
      <c r="S66" t="s">
        <v>51</v>
      </c>
    </row>
    <row r="68" spans="1:33" ht="15" thickBot="1" x14ac:dyDescent="0.35"/>
    <row r="69" spans="1:33" ht="15" thickBot="1" x14ac:dyDescent="0.35">
      <c r="C69" s="10" t="s">
        <v>23</v>
      </c>
      <c r="D69" s="60" t="s">
        <v>24</v>
      </c>
      <c r="E69" s="61"/>
      <c r="F69" s="62"/>
      <c r="G69" s="57" t="s">
        <v>25</v>
      </c>
      <c r="H69" s="59"/>
      <c r="I69" s="58"/>
      <c r="J69" s="57" t="s">
        <v>74</v>
      </c>
      <c r="K69" s="58"/>
      <c r="L69" s="57" t="s">
        <v>26</v>
      </c>
      <c r="M69" s="58"/>
      <c r="N69" s="10" t="s">
        <v>27</v>
      </c>
      <c r="O69" s="57" t="s">
        <v>28</v>
      </c>
      <c r="P69" s="58"/>
      <c r="S69" s="4" t="s">
        <v>15</v>
      </c>
      <c r="T69" s="6"/>
      <c r="U69" s="5">
        <v>1</v>
      </c>
      <c r="V69" s="8">
        <v>2</v>
      </c>
      <c r="W69" s="5">
        <v>3</v>
      </c>
      <c r="X69" s="8">
        <v>4</v>
      </c>
      <c r="Y69" s="5">
        <v>5</v>
      </c>
      <c r="Z69" s="8">
        <v>6</v>
      </c>
      <c r="AA69" s="5">
        <v>7</v>
      </c>
      <c r="AB69" s="8">
        <v>8</v>
      </c>
      <c r="AC69" s="5">
        <v>9</v>
      </c>
      <c r="AD69" s="8">
        <v>10</v>
      </c>
    </row>
    <row r="70" spans="1:33" ht="15" thickBot="1" x14ac:dyDescent="0.35">
      <c r="C70" s="8" t="s">
        <v>29</v>
      </c>
      <c r="D70" s="69">
        <v>28</v>
      </c>
      <c r="E70" s="70"/>
      <c r="F70" s="71"/>
      <c r="G70" s="63">
        <v>25</v>
      </c>
      <c r="H70" s="76"/>
      <c r="I70" s="64"/>
      <c r="J70" s="63">
        <v>25</v>
      </c>
      <c r="K70" s="64"/>
      <c r="L70" s="63">
        <v>50</v>
      </c>
      <c r="M70" s="64"/>
      <c r="N70" s="8" t="s">
        <v>78</v>
      </c>
      <c r="O70" s="63" t="s">
        <v>98</v>
      </c>
      <c r="P70" s="64"/>
      <c r="S70" s="4" t="s">
        <v>50</v>
      </c>
      <c r="T70" s="6"/>
      <c r="U70" s="5">
        <v>0</v>
      </c>
      <c r="V70" s="8">
        <v>0</v>
      </c>
      <c r="W70" s="5">
        <v>0</v>
      </c>
      <c r="X70" s="8">
        <v>0</v>
      </c>
      <c r="Y70" s="5">
        <v>0</v>
      </c>
      <c r="Z70" s="8">
        <v>0</v>
      </c>
      <c r="AA70" s="5">
        <v>0</v>
      </c>
      <c r="AB70" s="8">
        <v>0</v>
      </c>
      <c r="AC70" s="5">
        <v>0</v>
      </c>
      <c r="AD70" s="8">
        <v>0</v>
      </c>
    </row>
    <row r="71" spans="1:33" ht="15" thickBot="1" x14ac:dyDescent="0.35">
      <c r="C71" s="11" t="s">
        <v>30</v>
      </c>
      <c r="D71" s="65"/>
      <c r="E71" s="72"/>
      <c r="F71" s="66"/>
      <c r="G71" s="65"/>
      <c r="H71" s="72"/>
      <c r="I71" s="66"/>
      <c r="J71" s="65"/>
      <c r="K71" s="66"/>
      <c r="L71" s="65"/>
      <c r="M71" s="66"/>
      <c r="N71" s="11"/>
      <c r="O71" s="65"/>
      <c r="P71" s="66"/>
      <c r="S71" s="4" t="s">
        <v>21</v>
      </c>
      <c r="T71" s="6"/>
      <c r="U71" s="5"/>
      <c r="V71" s="17" t="e">
        <f>(V70-U70)/U70</f>
        <v>#DIV/0!</v>
      </c>
      <c r="W71" s="17" t="e">
        <f>(W70-V70)/V70</f>
        <v>#DIV/0!</v>
      </c>
      <c r="X71" s="17" t="e">
        <f>(X70-W70)/W70</f>
        <v>#DIV/0!</v>
      </c>
      <c r="Y71" s="17" t="e">
        <f t="shared" ref="Y71:AD71" si="4">(Y70-X70)/X70</f>
        <v>#DIV/0!</v>
      </c>
      <c r="Z71" s="17" t="e">
        <f t="shared" si="4"/>
        <v>#DIV/0!</v>
      </c>
      <c r="AA71" s="17" t="e">
        <f t="shared" si="4"/>
        <v>#DIV/0!</v>
      </c>
      <c r="AB71" s="17" t="e">
        <f t="shared" si="4"/>
        <v>#DIV/0!</v>
      </c>
      <c r="AC71" s="17" t="e">
        <f t="shared" si="4"/>
        <v>#DIV/0!</v>
      </c>
      <c r="AD71" s="17" t="e">
        <f t="shared" si="4"/>
        <v>#DIV/0!</v>
      </c>
    </row>
    <row r="72" spans="1:33" ht="15" thickBot="1" x14ac:dyDescent="0.35">
      <c r="C72" s="8" t="s">
        <v>32</v>
      </c>
      <c r="D72" s="69"/>
      <c r="E72" s="70"/>
      <c r="F72" s="71"/>
      <c r="G72" s="63"/>
      <c r="H72" s="76"/>
      <c r="I72" s="64"/>
      <c r="J72" s="63"/>
      <c r="K72" s="64"/>
      <c r="L72" s="63"/>
      <c r="M72" s="64"/>
      <c r="N72" s="8"/>
      <c r="O72" s="63"/>
      <c r="P72" s="64"/>
      <c r="S72" s="18" t="s">
        <v>52</v>
      </c>
      <c r="T72" s="6"/>
      <c r="U72" s="8"/>
      <c r="V72" s="5"/>
      <c r="W72" s="8"/>
      <c r="X72" s="5"/>
      <c r="Y72" s="8"/>
      <c r="Z72" s="5"/>
      <c r="AA72" s="8"/>
      <c r="AB72" s="5"/>
      <c r="AC72" s="8"/>
      <c r="AD72" s="6"/>
    </row>
    <row r="73" spans="1:33" ht="15" thickBot="1" x14ac:dyDescent="0.35">
      <c r="C73" s="12" t="s">
        <v>31</v>
      </c>
      <c r="D73" s="73"/>
      <c r="E73" s="74"/>
      <c r="F73" s="75"/>
      <c r="G73" s="67"/>
      <c r="H73" s="77"/>
      <c r="I73" s="68"/>
      <c r="J73" s="67"/>
      <c r="K73" s="68"/>
      <c r="L73" s="67"/>
      <c r="M73" s="68"/>
      <c r="N73" s="12"/>
      <c r="O73" s="67"/>
      <c r="P73" s="68"/>
    </row>
    <row r="74" spans="1:33" x14ac:dyDescent="0.3">
      <c r="D74" s="9"/>
      <c r="E74" s="9"/>
      <c r="F74" s="9"/>
      <c r="AD74" t="s">
        <v>68</v>
      </c>
    </row>
    <row r="75" spans="1:33" x14ac:dyDescent="0.3">
      <c r="AD75" t="s">
        <v>69</v>
      </c>
    </row>
    <row r="78" spans="1:33" x14ac:dyDescent="0.3">
      <c r="B78" t="s">
        <v>15</v>
      </c>
      <c r="C78" t="s">
        <v>33</v>
      </c>
      <c r="D78" s="78" t="s">
        <v>34</v>
      </c>
      <c r="E78" s="78"/>
      <c r="F78" s="78"/>
      <c r="G78" s="78" t="s">
        <v>35</v>
      </c>
      <c r="H78" s="78"/>
      <c r="I78" s="78"/>
      <c r="J78" s="78" t="s">
        <v>36</v>
      </c>
      <c r="K78" s="78"/>
      <c r="L78" s="78"/>
      <c r="M78" s="78" t="s">
        <v>37</v>
      </c>
      <c r="N78" s="78"/>
      <c r="O78" s="78"/>
      <c r="Q78" t="s">
        <v>39</v>
      </c>
      <c r="S78" t="s">
        <v>40</v>
      </c>
      <c r="V78" t="s">
        <v>41</v>
      </c>
    </row>
    <row r="79" spans="1:33" x14ac:dyDescent="0.3">
      <c r="A79">
        <v>2020</v>
      </c>
      <c r="B79">
        <v>0</v>
      </c>
      <c r="C79">
        <v>0.1</v>
      </c>
      <c r="D79" s="78"/>
      <c r="E79" s="78"/>
      <c r="F79" s="78"/>
      <c r="G79" s="78">
        <v>590</v>
      </c>
      <c r="H79" s="78"/>
      <c r="I79" s="78"/>
      <c r="J79" s="78"/>
      <c r="K79" s="78"/>
      <c r="L79" s="78"/>
      <c r="M79" s="78"/>
      <c r="N79" s="78"/>
      <c r="O79" s="78"/>
    </row>
    <row r="80" spans="1:33" x14ac:dyDescent="0.3">
      <c r="B80">
        <v>1</v>
      </c>
      <c r="D80" s="78">
        <v>0</v>
      </c>
      <c r="E80" s="78"/>
      <c r="F80" s="78"/>
      <c r="G80" s="78">
        <v>200</v>
      </c>
      <c r="H80" s="78"/>
      <c r="I80" s="78"/>
      <c r="J80" s="79">
        <f>C79+C79*D80/100</f>
        <v>0.1</v>
      </c>
      <c r="K80" s="79"/>
      <c r="L80" s="79"/>
      <c r="M80" s="80">
        <f>J80*G79</f>
        <v>59</v>
      </c>
      <c r="N80" s="80"/>
      <c r="O80" s="80"/>
      <c r="Q80" s="81">
        <f>M89/4</f>
        <v>222.92597250000003</v>
      </c>
      <c r="R80" s="81"/>
      <c r="S80" s="13">
        <f>Q80/2</f>
        <v>111.46298625000001</v>
      </c>
      <c r="V80" t="s">
        <v>42</v>
      </c>
      <c r="W80" t="s">
        <v>43</v>
      </c>
      <c r="X80" t="s">
        <v>44</v>
      </c>
      <c r="Z80" t="s">
        <v>45</v>
      </c>
      <c r="AA80" t="s">
        <v>46</v>
      </c>
      <c r="AC80" t="s">
        <v>47</v>
      </c>
      <c r="AE80" t="s">
        <v>48</v>
      </c>
      <c r="AG80" t="s">
        <v>49</v>
      </c>
    </row>
    <row r="81" spans="1:33" x14ac:dyDescent="0.3">
      <c r="B81">
        <v>2</v>
      </c>
      <c r="D81" s="78">
        <v>230</v>
      </c>
      <c r="E81" s="78"/>
      <c r="F81" s="78"/>
      <c r="G81" s="78">
        <v>98</v>
      </c>
      <c r="H81" s="78"/>
      <c r="I81" s="78"/>
      <c r="J81" s="79">
        <f t="shared" ref="J81:J89" si="5">J80+J80*D81/100</f>
        <v>0.33</v>
      </c>
      <c r="K81" s="79"/>
      <c r="L81" s="79"/>
      <c r="M81" s="80">
        <f>J81*G80</f>
        <v>66</v>
      </c>
      <c r="N81" s="80"/>
      <c r="O81" s="80"/>
      <c r="S81" s="13">
        <f>Q80*70/100</f>
        <v>156.04818075000003</v>
      </c>
    </row>
    <row r="82" spans="1:33" x14ac:dyDescent="0.3">
      <c r="B82">
        <v>3</v>
      </c>
      <c r="D82" s="78">
        <v>100</v>
      </c>
      <c r="E82" s="78"/>
      <c r="F82" s="78"/>
      <c r="G82" s="78">
        <v>80</v>
      </c>
      <c r="H82" s="78"/>
      <c r="I82" s="78"/>
      <c r="J82" s="79">
        <f t="shared" si="5"/>
        <v>0.66</v>
      </c>
      <c r="K82" s="79"/>
      <c r="L82" s="79"/>
      <c r="M82" s="80">
        <f>J82*G81</f>
        <v>64.680000000000007</v>
      </c>
      <c r="N82" s="80"/>
      <c r="O82" s="80"/>
      <c r="S82" s="13">
        <f>Q80*80/100</f>
        <v>178.34077800000003</v>
      </c>
      <c r="V82">
        <v>10000</v>
      </c>
      <c r="W82">
        <v>60</v>
      </c>
      <c r="X82" s="78">
        <v>892</v>
      </c>
      <c r="Y82" s="78"/>
      <c r="Z82">
        <v>10</v>
      </c>
      <c r="AA82" s="80">
        <f>(V82/W82)*X82</f>
        <v>148666.66666666666</v>
      </c>
      <c r="AB82" s="80"/>
      <c r="AC82" s="79">
        <f>AA82/Z82</f>
        <v>14866.666666666666</v>
      </c>
      <c r="AD82" s="79"/>
      <c r="AE82" s="82">
        <f>(AA82/V82)^(1/Z82)-1</f>
        <v>0.30984938462683442</v>
      </c>
      <c r="AF82" s="82"/>
      <c r="AG82" s="14">
        <f>(AA82-V82)/V82</f>
        <v>13.866666666666665</v>
      </c>
    </row>
    <row r="83" spans="1:33" x14ac:dyDescent="0.3">
      <c r="B83">
        <v>4</v>
      </c>
      <c r="D83" s="78">
        <v>80</v>
      </c>
      <c r="E83" s="78"/>
      <c r="F83" s="78"/>
      <c r="G83" s="78">
        <v>70</v>
      </c>
      <c r="H83" s="78"/>
      <c r="I83" s="78"/>
      <c r="J83" s="79">
        <f>J82+J82*D83/100</f>
        <v>1.1880000000000002</v>
      </c>
      <c r="K83" s="79"/>
      <c r="L83" s="79"/>
      <c r="M83" s="80">
        <f>J83*G82</f>
        <v>95.04000000000002</v>
      </c>
      <c r="N83" s="80"/>
      <c r="O83" s="80"/>
    </row>
    <row r="84" spans="1:33" x14ac:dyDescent="0.3">
      <c r="B84">
        <v>5</v>
      </c>
      <c r="D84" s="78">
        <v>75</v>
      </c>
      <c r="E84" s="78"/>
      <c r="F84" s="78"/>
      <c r="G84" s="78">
        <v>70</v>
      </c>
      <c r="H84" s="78"/>
      <c r="I84" s="78"/>
      <c r="J84" s="79">
        <f>J83+J83*D84/100</f>
        <v>2.0790000000000002</v>
      </c>
      <c r="K84" s="79"/>
      <c r="L84" s="79"/>
      <c r="M84" s="80">
        <f>J84*G83</f>
        <v>145.53</v>
      </c>
      <c r="N84" s="80"/>
      <c r="O84" s="80"/>
    </row>
    <row r="85" spans="1:33" x14ac:dyDescent="0.3">
      <c r="B85">
        <v>6</v>
      </c>
      <c r="D85" s="78">
        <v>70</v>
      </c>
      <c r="E85" s="78"/>
      <c r="F85" s="78"/>
      <c r="G85" s="78">
        <v>60</v>
      </c>
      <c r="H85" s="78"/>
      <c r="I85" s="78"/>
      <c r="J85" s="79">
        <f t="shared" si="5"/>
        <v>3.5343</v>
      </c>
      <c r="K85" s="79"/>
      <c r="L85" s="79"/>
      <c r="M85" s="80">
        <f t="shared" ref="M81:M88" si="6">J85*G84</f>
        <v>247.40100000000001</v>
      </c>
      <c r="N85" s="80"/>
      <c r="O85" s="80"/>
    </row>
    <row r="86" spans="1:33" x14ac:dyDescent="0.3">
      <c r="B86">
        <v>7</v>
      </c>
      <c r="D86" s="78">
        <v>60</v>
      </c>
      <c r="E86" s="78"/>
      <c r="F86" s="78"/>
      <c r="G86" s="78">
        <v>60</v>
      </c>
      <c r="H86" s="78"/>
      <c r="I86" s="78"/>
      <c r="J86" s="79">
        <f>J85+J85*D86/100</f>
        <v>5.6548800000000004</v>
      </c>
      <c r="K86" s="79"/>
      <c r="L86" s="79"/>
      <c r="M86" s="80">
        <f>J86*G85</f>
        <v>339.2928</v>
      </c>
      <c r="N86" s="80"/>
      <c r="O86" s="80"/>
      <c r="V86" s="26"/>
    </row>
    <row r="87" spans="1:33" x14ac:dyDescent="0.3">
      <c r="B87">
        <v>8</v>
      </c>
      <c r="D87" s="78">
        <v>50</v>
      </c>
      <c r="E87" s="78"/>
      <c r="F87" s="78"/>
      <c r="G87" s="78">
        <v>50</v>
      </c>
      <c r="H87" s="78"/>
      <c r="I87" s="78"/>
      <c r="J87" s="79">
        <f t="shared" si="5"/>
        <v>8.4823200000000014</v>
      </c>
      <c r="K87" s="79"/>
      <c r="L87" s="79"/>
      <c r="M87" s="80">
        <f t="shared" si="6"/>
        <v>508.93920000000008</v>
      </c>
      <c r="N87" s="80"/>
      <c r="O87" s="80"/>
    </row>
    <row r="88" spans="1:33" x14ac:dyDescent="0.3">
      <c r="B88">
        <v>9</v>
      </c>
      <c r="D88" s="78">
        <v>45</v>
      </c>
      <c r="E88" s="78"/>
      <c r="F88" s="78"/>
      <c r="G88" s="78">
        <v>50</v>
      </c>
      <c r="H88" s="78"/>
      <c r="I88" s="78"/>
      <c r="J88" s="79">
        <f t="shared" si="5"/>
        <v>12.299364000000002</v>
      </c>
      <c r="K88" s="79"/>
      <c r="L88" s="79"/>
      <c r="M88" s="80">
        <f t="shared" si="6"/>
        <v>614.96820000000014</v>
      </c>
      <c r="N88" s="80"/>
      <c r="O88" s="80"/>
    </row>
    <row r="89" spans="1:33" x14ac:dyDescent="0.3">
      <c r="A89">
        <v>2030</v>
      </c>
      <c r="B89">
        <v>10</v>
      </c>
      <c r="D89" s="78">
        <v>45</v>
      </c>
      <c r="E89" s="78"/>
      <c r="F89" s="78"/>
      <c r="G89" s="78">
        <v>50</v>
      </c>
      <c r="H89" s="78"/>
      <c r="I89" s="78"/>
      <c r="J89" s="79">
        <f t="shared" si="5"/>
        <v>17.834077800000003</v>
      </c>
      <c r="K89" s="79"/>
      <c r="L89" s="79"/>
      <c r="M89" s="80">
        <f>J89*G88</f>
        <v>891.70389000000011</v>
      </c>
      <c r="N89" s="80"/>
      <c r="O89" s="80"/>
    </row>
    <row r="95" spans="1:33" x14ac:dyDescent="0.3">
      <c r="C95" t="s">
        <v>66</v>
      </c>
      <c r="J95" t="s">
        <v>78</v>
      </c>
    </row>
    <row r="96" spans="1:33" x14ac:dyDescent="0.3">
      <c r="L96" s="23"/>
    </row>
    <row r="99" spans="3:27" ht="16.2" thickBot="1" x14ac:dyDescent="0.35">
      <c r="C99" s="55" t="s">
        <v>90</v>
      </c>
      <c r="M99" s="3"/>
    </row>
    <row r="100" spans="3:27" ht="15" thickBot="1" x14ac:dyDescent="0.35">
      <c r="C100" s="63" t="s">
        <v>89</v>
      </c>
      <c r="D100" s="64"/>
      <c r="E100" s="63" t="s">
        <v>87</v>
      </c>
      <c r="F100" s="64"/>
      <c r="G100" s="63" t="s">
        <v>88</v>
      </c>
      <c r="H100" s="76"/>
      <c r="I100" s="76"/>
      <c r="J100" s="76"/>
      <c r="K100" s="64"/>
      <c r="L100" s="63" t="s">
        <v>17</v>
      </c>
      <c r="M100" s="76"/>
      <c r="N100" s="76"/>
      <c r="O100" s="76"/>
      <c r="P100" s="64"/>
    </row>
    <row r="101" spans="3:27" ht="15" thickBot="1" x14ac:dyDescent="0.35">
      <c r="C101" s="16"/>
      <c r="D101" s="23"/>
      <c r="E101" s="16"/>
      <c r="F101" s="37"/>
      <c r="G101" s="51">
        <v>0.1</v>
      </c>
      <c r="H101" s="52">
        <v>0.13</v>
      </c>
      <c r="I101" s="53">
        <v>0.15</v>
      </c>
      <c r="J101" s="52">
        <v>0.17</v>
      </c>
      <c r="K101" s="54">
        <v>0.2</v>
      </c>
      <c r="L101" s="51">
        <v>0.1</v>
      </c>
      <c r="M101" s="52">
        <v>0.13</v>
      </c>
      <c r="N101" s="53">
        <v>0.15</v>
      </c>
      <c r="O101" s="52">
        <v>0.17</v>
      </c>
      <c r="P101" s="54">
        <v>0.2</v>
      </c>
    </row>
    <row r="102" spans="3:27" x14ac:dyDescent="0.3">
      <c r="C102" s="16"/>
      <c r="D102" s="23">
        <v>35</v>
      </c>
      <c r="E102" s="83">
        <f>2000*(1+35/100)^10</f>
        <v>40213.111737236162</v>
      </c>
      <c r="F102" s="84"/>
      <c r="G102" s="50">
        <f>E102*0.1</f>
        <v>4021.3111737236163</v>
      </c>
      <c r="H102" s="48">
        <f>E102*0.13</f>
        <v>5227.7045258407015</v>
      </c>
      <c r="I102" s="49">
        <f>E102*0.15</f>
        <v>6031.9667605854238</v>
      </c>
      <c r="J102" s="48">
        <f>E102*0.17</f>
        <v>6836.2289953301479</v>
      </c>
      <c r="K102" s="49">
        <f>E102*0.2</f>
        <v>8042.6223474472326</v>
      </c>
      <c r="L102" s="46">
        <f>G102/495</f>
        <v>8.1238609570174063</v>
      </c>
      <c r="M102" s="41">
        <f t="shared" ref="M102:P104" si="7">H102/495</f>
        <v>10.56101924412263</v>
      </c>
      <c r="N102" s="46">
        <f t="shared" si="7"/>
        <v>12.185791435526109</v>
      </c>
      <c r="O102" s="56">
        <f>J102/495</f>
        <v>13.810563626929591</v>
      </c>
      <c r="P102" s="42">
        <f>K102/495</f>
        <v>16.247721914034813</v>
      </c>
    </row>
    <row r="103" spans="3:27" x14ac:dyDescent="0.3">
      <c r="C103" s="16"/>
      <c r="D103" s="23">
        <v>25</v>
      </c>
      <c r="E103" s="83">
        <f>2000*(1+25/100)^10</f>
        <v>18626.45149230957</v>
      </c>
      <c r="F103" s="84"/>
      <c r="G103" s="50">
        <f t="shared" ref="G103:G104" si="8">E103*0.1</f>
        <v>1862.645149230957</v>
      </c>
      <c r="H103" s="48">
        <f t="shared" ref="H103:H104" si="9">E103*0.13</f>
        <v>2421.4386940002441</v>
      </c>
      <c r="I103" s="49">
        <f t="shared" ref="I103:I104" si="10">E103*0.15</f>
        <v>2793.9677238464355</v>
      </c>
      <c r="J103" s="48">
        <f t="shared" ref="J103:J104" si="11">E103*0.17</f>
        <v>3166.496753692627</v>
      </c>
      <c r="K103" s="49">
        <f t="shared" ref="K103:K104" si="12">E103*0.2</f>
        <v>3725.2902984619141</v>
      </c>
      <c r="L103" s="40">
        <f t="shared" ref="L103:L104" si="13">G103/495</f>
        <v>3.7629194933958727</v>
      </c>
      <c r="M103" s="46">
        <f t="shared" si="7"/>
        <v>4.8917953414146345</v>
      </c>
      <c r="N103" s="41">
        <f t="shared" si="7"/>
        <v>5.6443792400938095</v>
      </c>
      <c r="O103" s="86">
        <f t="shared" si="7"/>
        <v>6.3969631387729837</v>
      </c>
      <c r="P103" s="42">
        <f t="shared" si="7"/>
        <v>7.5258389867917455</v>
      </c>
      <c r="V103" s="34"/>
      <c r="AA103" s="34"/>
    </row>
    <row r="104" spans="3:27" ht="15" thickBot="1" x14ac:dyDescent="0.35">
      <c r="C104" s="1"/>
      <c r="D104" s="3">
        <v>20</v>
      </c>
      <c r="E104" s="87">
        <f>2000*(1+20/100)^10</f>
        <v>12383.472844799999</v>
      </c>
      <c r="F104" s="88"/>
      <c r="G104" s="89">
        <f t="shared" si="8"/>
        <v>1238.3472844799999</v>
      </c>
      <c r="H104" s="90">
        <f t="shared" si="9"/>
        <v>1609.8514698239999</v>
      </c>
      <c r="I104" s="91">
        <f t="shared" si="10"/>
        <v>1857.5209267199998</v>
      </c>
      <c r="J104" s="90">
        <f t="shared" si="11"/>
        <v>2105.190383616</v>
      </c>
      <c r="K104" s="92">
        <f t="shared" si="12"/>
        <v>2476.6945689599997</v>
      </c>
      <c r="L104" s="43">
        <f t="shared" si="13"/>
        <v>2.5017116858181816</v>
      </c>
      <c r="M104" s="47">
        <f t="shared" si="7"/>
        <v>3.2522251915636362</v>
      </c>
      <c r="N104" s="44">
        <f t="shared" si="7"/>
        <v>3.7525675287272722</v>
      </c>
      <c r="O104" s="47">
        <f t="shared" si="7"/>
        <v>4.252909865890909</v>
      </c>
      <c r="P104" s="45">
        <f t="shared" si="7"/>
        <v>5.0034233716363632</v>
      </c>
      <c r="V104" s="39"/>
    </row>
    <row r="105" spans="3:27" x14ac:dyDescent="0.3">
      <c r="V105" s="34"/>
    </row>
    <row r="109" spans="3:27" x14ac:dyDescent="0.3">
      <c r="C109" t="s">
        <v>64</v>
      </c>
    </row>
    <row r="110" spans="3:27" x14ac:dyDescent="0.3">
      <c r="C110" t="s">
        <v>62</v>
      </c>
    </row>
    <row r="111" spans="3:27" x14ac:dyDescent="0.3">
      <c r="C111" t="s">
        <v>63</v>
      </c>
    </row>
    <row r="120" spans="3:3" x14ac:dyDescent="0.3">
      <c r="C120" t="s">
        <v>3</v>
      </c>
    </row>
    <row r="121" spans="3:3" x14ac:dyDescent="0.3">
      <c r="C121" t="s">
        <v>2</v>
      </c>
    </row>
    <row r="122" spans="3:3" x14ac:dyDescent="0.3">
      <c r="C122" t="s">
        <v>4</v>
      </c>
    </row>
    <row r="123" spans="3:3" x14ac:dyDescent="0.3">
      <c r="C123" t="s">
        <v>5</v>
      </c>
    </row>
    <row r="154" spans="6:18" x14ac:dyDescent="0.3">
      <c r="F154" t="s">
        <v>79</v>
      </c>
    </row>
    <row r="156" spans="6:18" x14ac:dyDescent="0.3">
      <c r="G156" t="s">
        <v>80</v>
      </c>
      <c r="I156">
        <v>148</v>
      </c>
      <c r="J156">
        <v>148</v>
      </c>
      <c r="K156">
        <v>148</v>
      </c>
      <c r="L156">
        <v>148</v>
      </c>
      <c r="M156">
        <v>148</v>
      </c>
      <c r="N156">
        <v>148</v>
      </c>
      <c r="O156">
        <v>148</v>
      </c>
      <c r="P156">
        <v>148</v>
      </c>
      <c r="Q156">
        <v>148</v>
      </c>
      <c r="R156">
        <v>148</v>
      </c>
    </row>
    <row r="157" spans="6:18" x14ac:dyDescent="0.3">
      <c r="G157" t="s">
        <v>81</v>
      </c>
      <c r="I157">
        <v>12.1</v>
      </c>
      <c r="J157">
        <v>12.1</v>
      </c>
      <c r="K157">
        <v>12.1</v>
      </c>
      <c r="L157">
        <v>12.1</v>
      </c>
      <c r="M157">
        <v>12.1</v>
      </c>
      <c r="N157">
        <v>12.1</v>
      </c>
      <c r="O157">
        <v>12.1</v>
      </c>
      <c r="P157">
        <v>12.1</v>
      </c>
      <c r="Q157">
        <v>12.1</v>
      </c>
      <c r="R157">
        <v>12.1</v>
      </c>
    </row>
    <row r="158" spans="6:18" ht="15" thickBot="1" x14ac:dyDescent="0.35"/>
    <row r="159" spans="6:18" ht="15" thickBot="1" x14ac:dyDescent="0.35">
      <c r="G159" t="s">
        <v>20</v>
      </c>
      <c r="I159" s="8">
        <v>7331</v>
      </c>
      <c r="J159" s="5">
        <v>9706</v>
      </c>
      <c r="K159" s="8">
        <v>8376</v>
      </c>
      <c r="L159" s="6">
        <v>19400</v>
      </c>
      <c r="M159" s="37">
        <v>23502</v>
      </c>
      <c r="N159" s="37">
        <v>32981</v>
      </c>
      <c r="O159" s="37">
        <v>42994</v>
      </c>
    </row>
  </sheetData>
  <mergeCells count="91">
    <mergeCell ref="C100:D100"/>
    <mergeCell ref="E102:F102"/>
    <mergeCell ref="E103:F103"/>
    <mergeCell ref="E104:F104"/>
    <mergeCell ref="G100:K100"/>
    <mergeCell ref="L100:P100"/>
    <mergeCell ref="E100:F100"/>
    <mergeCell ref="AC82:AD82"/>
    <mergeCell ref="AE82:AF82"/>
    <mergeCell ref="U51:X51"/>
    <mergeCell ref="G87:I87"/>
    <mergeCell ref="G88:I88"/>
    <mergeCell ref="J85:L85"/>
    <mergeCell ref="J86:L86"/>
    <mergeCell ref="J87:L87"/>
    <mergeCell ref="J88:L88"/>
    <mergeCell ref="L70:M70"/>
    <mergeCell ref="L71:M71"/>
    <mergeCell ref="L72:M72"/>
    <mergeCell ref="L73:M73"/>
    <mergeCell ref="O70:P70"/>
    <mergeCell ref="O71:P71"/>
    <mergeCell ref="O72:P72"/>
    <mergeCell ref="G89:I89"/>
    <mergeCell ref="Q80:R80"/>
    <mergeCell ref="X82:Y82"/>
    <mergeCell ref="O73:P73"/>
    <mergeCell ref="AA82:AB82"/>
    <mergeCell ref="M87:O87"/>
    <mergeCell ref="M88:O88"/>
    <mergeCell ref="M89:O89"/>
    <mergeCell ref="G80:I80"/>
    <mergeCell ref="G81:I81"/>
    <mergeCell ref="G82:I82"/>
    <mergeCell ref="G83:I83"/>
    <mergeCell ref="G84:I84"/>
    <mergeCell ref="G85:I85"/>
    <mergeCell ref="G86:I86"/>
    <mergeCell ref="J83:L83"/>
    <mergeCell ref="J84:L84"/>
    <mergeCell ref="D89:F89"/>
    <mergeCell ref="J89:L89"/>
    <mergeCell ref="M79:O79"/>
    <mergeCell ref="M80:O80"/>
    <mergeCell ref="M81:O81"/>
    <mergeCell ref="M82:O82"/>
    <mergeCell ref="M83:O83"/>
    <mergeCell ref="M84:O84"/>
    <mergeCell ref="M85:O85"/>
    <mergeCell ref="M86:O86"/>
    <mergeCell ref="D83:F83"/>
    <mergeCell ref="D84:F84"/>
    <mergeCell ref="D85:F85"/>
    <mergeCell ref="D86:F86"/>
    <mergeCell ref="D87:F87"/>
    <mergeCell ref="D88:F88"/>
    <mergeCell ref="D81:F81"/>
    <mergeCell ref="D82:F82"/>
    <mergeCell ref="G79:I79"/>
    <mergeCell ref="J79:L79"/>
    <mergeCell ref="J80:L80"/>
    <mergeCell ref="J81:L81"/>
    <mergeCell ref="J82:L82"/>
    <mergeCell ref="D80:F80"/>
    <mergeCell ref="D78:F78"/>
    <mergeCell ref="G78:I78"/>
    <mergeCell ref="J78:L78"/>
    <mergeCell ref="M78:O78"/>
    <mergeCell ref="D79:F79"/>
    <mergeCell ref="J70:K70"/>
    <mergeCell ref="J71:K71"/>
    <mergeCell ref="J72:K72"/>
    <mergeCell ref="J73:K73"/>
    <mergeCell ref="D70:F70"/>
    <mergeCell ref="D72:F72"/>
    <mergeCell ref="D71:F71"/>
    <mergeCell ref="D73:F73"/>
    <mergeCell ref="G70:I70"/>
    <mergeCell ref="G71:I71"/>
    <mergeCell ref="G72:I72"/>
    <mergeCell ref="G73:I73"/>
    <mergeCell ref="D69:F69"/>
    <mergeCell ref="G69:I69"/>
    <mergeCell ref="J69:K69"/>
    <mergeCell ref="L69:M69"/>
    <mergeCell ref="O69:P69"/>
    <mergeCell ref="C51:D51"/>
    <mergeCell ref="E51:H51"/>
    <mergeCell ref="I51:L51"/>
    <mergeCell ref="M51:P51"/>
    <mergeCell ref="Q51:T5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EF3F-8203-46A4-B592-3D9C53BF6078}">
  <dimension ref="C6:Y46"/>
  <sheetViews>
    <sheetView topLeftCell="A13" workbookViewId="0">
      <selection activeCell="D12" sqref="D12"/>
    </sheetView>
  </sheetViews>
  <sheetFormatPr baseColWidth="10" defaultRowHeight="14.4" x14ac:dyDescent="0.3"/>
  <cols>
    <col min="3" max="3" width="16.109375" customWidth="1"/>
  </cols>
  <sheetData>
    <row r="6" spans="3:25" x14ac:dyDescent="0.3">
      <c r="D6" s="72"/>
      <c r="E6" s="72"/>
      <c r="F6" s="72"/>
    </row>
    <row r="7" spans="3:25" x14ac:dyDescent="0.3">
      <c r="C7" s="23"/>
      <c r="D7" s="25"/>
      <c r="E7" s="25"/>
      <c r="F7" s="25"/>
      <c r="G7" s="24"/>
      <c r="H7" s="24"/>
      <c r="I7" s="24"/>
      <c r="J7" s="24"/>
      <c r="K7" s="24"/>
      <c r="L7" s="24"/>
      <c r="M7" s="24"/>
      <c r="N7" s="23"/>
      <c r="O7" s="24"/>
      <c r="P7" s="24"/>
    </row>
    <row r="8" spans="3:25" x14ac:dyDescent="0.3">
      <c r="C8" s="23"/>
      <c r="D8" s="25"/>
      <c r="E8" s="25"/>
      <c r="F8" s="25"/>
      <c r="G8" s="24"/>
      <c r="H8" s="24"/>
      <c r="I8" s="24"/>
      <c r="J8" s="24"/>
      <c r="K8" s="24"/>
      <c r="L8" s="24"/>
      <c r="M8" s="24"/>
      <c r="N8" s="23"/>
      <c r="O8" s="24"/>
      <c r="P8" s="24"/>
    </row>
    <row r="9" spans="3:25" x14ac:dyDescent="0.3"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  <c r="O9" s="24"/>
      <c r="P9" s="24"/>
    </row>
    <row r="10" spans="3:25" x14ac:dyDescent="0.3">
      <c r="C10" s="23"/>
      <c r="D10" s="25"/>
      <c r="E10" s="25"/>
      <c r="F10" s="25"/>
      <c r="G10" s="24"/>
      <c r="H10" s="24"/>
      <c r="I10" s="24"/>
      <c r="J10" s="24"/>
      <c r="K10" s="24"/>
      <c r="L10" s="24"/>
      <c r="M10" s="24"/>
      <c r="N10" s="23"/>
      <c r="O10" s="24"/>
      <c r="P10" s="24"/>
    </row>
    <row r="11" spans="3:25" x14ac:dyDescent="0.3">
      <c r="C11" s="23"/>
      <c r="D11" s="25"/>
      <c r="E11" s="25"/>
      <c r="F11" s="25"/>
      <c r="G11" s="24"/>
      <c r="H11" s="24"/>
      <c r="I11" s="24"/>
      <c r="J11" s="24"/>
      <c r="K11" s="24"/>
      <c r="L11" s="24"/>
      <c r="M11" s="24"/>
      <c r="N11" s="23"/>
      <c r="O11" s="24"/>
      <c r="P11" s="24"/>
    </row>
    <row r="12" spans="3:25" x14ac:dyDescent="0.3">
      <c r="D12" t="s">
        <v>61</v>
      </c>
    </row>
    <row r="14" spans="3:25" ht="15" thickBot="1" x14ac:dyDescent="0.35"/>
    <row r="15" spans="3:25" ht="15" thickBot="1" x14ac:dyDescent="0.35">
      <c r="D15" s="57" t="s">
        <v>19</v>
      </c>
      <c r="E15" s="58"/>
      <c r="F15" s="57" t="s">
        <v>18</v>
      </c>
      <c r="G15" s="59"/>
      <c r="H15" s="59"/>
      <c r="I15" s="58"/>
      <c r="J15" s="57" t="s">
        <v>17</v>
      </c>
      <c r="K15" s="59"/>
      <c r="L15" s="59"/>
      <c r="M15" s="58"/>
      <c r="N15" s="57" t="s">
        <v>16</v>
      </c>
      <c r="O15" s="59"/>
      <c r="P15" s="59"/>
      <c r="Q15" s="58"/>
      <c r="R15" s="57" t="s">
        <v>20</v>
      </c>
      <c r="S15" s="59"/>
      <c r="T15" s="59"/>
      <c r="U15" s="58"/>
      <c r="V15" s="57" t="s">
        <v>59</v>
      </c>
      <c r="W15" s="59"/>
      <c r="X15" s="59"/>
      <c r="Y15" s="58"/>
    </row>
    <row r="16" spans="3:25" ht="15" thickBot="1" x14ac:dyDescent="0.35">
      <c r="C16" s="15" t="s">
        <v>23</v>
      </c>
      <c r="D16" s="21">
        <v>5</v>
      </c>
      <c r="E16" s="20">
        <v>1</v>
      </c>
      <c r="F16" s="21">
        <v>7</v>
      </c>
      <c r="G16" s="19">
        <v>5</v>
      </c>
      <c r="H16" s="21">
        <v>3</v>
      </c>
      <c r="I16" s="20">
        <v>1</v>
      </c>
      <c r="J16" s="21">
        <v>7</v>
      </c>
      <c r="K16" s="19">
        <v>5</v>
      </c>
      <c r="L16" s="21">
        <v>3</v>
      </c>
      <c r="M16" s="20">
        <v>1</v>
      </c>
      <c r="N16" s="21">
        <v>7</v>
      </c>
      <c r="O16" s="19">
        <v>5</v>
      </c>
      <c r="P16" s="21">
        <v>3</v>
      </c>
      <c r="Q16" s="20">
        <v>1</v>
      </c>
      <c r="R16" s="4">
        <v>7</v>
      </c>
      <c r="S16" s="8">
        <v>5</v>
      </c>
      <c r="T16" s="5">
        <v>3</v>
      </c>
      <c r="U16" s="8">
        <v>1</v>
      </c>
      <c r="V16" s="4">
        <v>7</v>
      </c>
      <c r="W16" s="8">
        <v>5</v>
      </c>
      <c r="X16" s="5">
        <v>3</v>
      </c>
      <c r="Y16" s="8">
        <v>1</v>
      </c>
    </row>
    <row r="17" spans="3:25" ht="15" thickBot="1" x14ac:dyDescent="0.35">
      <c r="C17" s="4" t="s">
        <v>29</v>
      </c>
      <c r="D17" s="8"/>
      <c r="E17" s="6"/>
      <c r="F17" s="8"/>
      <c r="G17" s="5"/>
      <c r="H17" s="8"/>
      <c r="I17" s="6"/>
      <c r="J17" s="8"/>
      <c r="K17" s="5"/>
      <c r="L17" s="8"/>
      <c r="M17" s="6"/>
      <c r="N17" s="8"/>
      <c r="O17" s="5"/>
      <c r="P17" s="8"/>
      <c r="Q17" s="6"/>
      <c r="R17" s="15"/>
      <c r="S17" s="10"/>
      <c r="T17" s="22"/>
      <c r="U17" s="10"/>
      <c r="V17" s="15"/>
      <c r="W17" s="10"/>
      <c r="X17" s="22"/>
      <c r="Y17" s="10"/>
    </row>
    <row r="18" spans="3:25" ht="15" thickBot="1" x14ac:dyDescent="0.35">
      <c r="C18" s="4" t="s">
        <v>30</v>
      </c>
      <c r="D18" s="8"/>
      <c r="E18" s="6"/>
      <c r="F18" s="8"/>
      <c r="G18" s="5"/>
      <c r="H18" s="8"/>
      <c r="I18" s="6"/>
      <c r="J18" s="8"/>
      <c r="K18" s="5"/>
      <c r="L18" s="8"/>
      <c r="M18" s="6"/>
      <c r="N18" s="8"/>
      <c r="O18" s="5"/>
      <c r="P18" s="8"/>
      <c r="Q18" s="6"/>
      <c r="R18" s="4"/>
      <c r="S18" s="8"/>
      <c r="T18" s="5"/>
      <c r="U18" s="8"/>
      <c r="V18" s="4"/>
      <c r="W18" s="8"/>
      <c r="X18" s="5"/>
      <c r="Y18" s="8"/>
    </row>
    <row r="19" spans="3:25" ht="15" thickBot="1" x14ac:dyDescent="0.35">
      <c r="C19" s="4" t="s">
        <v>32</v>
      </c>
      <c r="D19" s="8"/>
      <c r="E19" s="6"/>
      <c r="F19" s="8"/>
      <c r="G19" s="5"/>
      <c r="H19" s="8"/>
      <c r="I19" s="6"/>
      <c r="J19" s="8"/>
      <c r="K19" s="5"/>
      <c r="L19" s="8"/>
      <c r="M19" s="6"/>
      <c r="N19" s="8"/>
      <c r="O19" s="5"/>
      <c r="P19" s="8"/>
      <c r="Q19" s="6"/>
      <c r="R19" s="16"/>
      <c r="S19" s="11"/>
      <c r="T19" s="23"/>
      <c r="U19" s="11"/>
      <c r="V19" s="16"/>
      <c r="W19" s="11"/>
      <c r="X19" s="23"/>
      <c r="Y19" s="11"/>
    </row>
    <row r="20" spans="3:25" ht="15" thickBot="1" x14ac:dyDescent="0.35">
      <c r="C20" s="4" t="s">
        <v>31</v>
      </c>
      <c r="D20" s="8"/>
      <c r="E20" s="6"/>
      <c r="F20" s="8"/>
      <c r="G20" s="5"/>
      <c r="H20" s="8"/>
      <c r="I20" s="6"/>
      <c r="J20" s="8"/>
      <c r="K20" s="5"/>
      <c r="L20" s="8"/>
      <c r="M20" s="6"/>
      <c r="N20" s="8"/>
      <c r="O20" s="5"/>
      <c r="P20" s="8"/>
      <c r="Q20" s="6"/>
      <c r="R20" s="4"/>
      <c r="S20" s="8"/>
      <c r="T20" s="5"/>
      <c r="U20" s="8"/>
      <c r="V20" s="4"/>
      <c r="W20" s="8"/>
      <c r="X20" s="5"/>
      <c r="Y20" s="8"/>
    </row>
    <row r="38" spans="3:25" x14ac:dyDescent="0.3">
      <c r="D38" t="s">
        <v>60</v>
      </c>
    </row>
    <row r="40" spans="3:25" ht="15" thickBot="1" x14ac:dyDescent="0.35"/>
    <row r="41" spans="3:25" ht="15" thickBot="1" x14ac:dyDescent="0.35">
      <c r="D41" s="57" t="s">
        <v>19</v>
      </c>
      <c r="E41" s="58"/>
      <c r="F41" s="57" t="s">
        <v>18</v>
      </c>
      <c r="G41" s="59"/>
      <c r="H41" s="59"/>
      <c r="I41" s="58"/>
      <c r="J41" s="57" t="s">
        <v>17</v>
      </c>
      <c r="K41" s="59"/>
      <c r="L41" s="59"/>
      <c r="M41" s="58"/>
      <c r="N41" s="57" t="s">
        <v>16</v>
      </c>
      <c r="O41" s="59"/>
      <c r="P41" s="59"/>
      <c r="Q41" s="58"/>
      <c r="R41" s="57" t="s">
        <v>20</v>
      </c>
      <c r="S41" s="59"/>
      <c r="T41" s="59"/>
      <c r="U41" s="58"/>
      <c r="V41" s="57" t="s">
        <v>59</v>
      </c>
      <c r="W41" s="59"/>
      <c r="X41" s="59"/>
      <c r="Y41" s="58"/>
    </row>
    <row r="42" spans="3:25" ht="15" thickBot="1" x14ac:dyDescent="0.35">
      <c r="C42" s="15" t="s">
        <v>23</v>
      </c>
      <c r="D42" s="21">
        <v>5</v>
      </c>
      <c r="E42" s="20">
        <v>1</v>
      </c>
      <c r="F42" s="21">
        <v>7</v>
      </c>
      <c r="G42" s="19">
        <v>5</v>
      </c>
      <c r="H42" s="21">
        <v>3</v>
      </c>
      <c r="I42" s="20">
        <v>1</v>
      </c>
      <c r="J42" s="21">
        <v>7</v>
      </c>
      <c r="K42" s="19">
        <v>5</v>
      </c>
      <c r="L42" s="21">
        <v>3</v>
      </c>
      <c r="M42" s="20">
        <v>1</v>
      </c>
      <c r="N42" s="21">
        <v>7</v>
      </c>
      <c r="O42" s="19">
        <v>5</v>
      </c>
      <c r="P42" s="21">
        <v>3</v>
      </c>
      <c r="Q42" s="20">
        <v>1</v>
      </c>
      <c r="R42" s="4">
        <v>7</v>
      </c>
      <c r="S42" s="8">
        <v>5</v>
      </c>
      <c r="T42" s="5">
        <v>3</v>
      </c>
      <c r="U42" s="8">
        <v>1</v>
      </c>
      <c r="V42" s="4">
        <v>7</v>
      </c>
      <c r="W42" s="8">
        <v>5</v>
      </c>
      <c r="X42" s="5">
        <v>3</v>
      </c>
      <c r="Y42" s="8">
        <v>1</v>
      </c>
    </row>
    <row r="43" spans="3:25" ht="15" thickBot="1" x14ac:dyDescent="0.35">
      <c r="C43" s="4" t="s">
        <v>29</v>
      </c>
      <c r="D43" s="8"/>
      <c r="E43" s="6"/>
      <c r="F43" s="8"/>
      <c r="G43" s="5"/>
      <c r="H43" s="8"/>
      <c r="I43" s="6"/>
      <c r="J43" s="8"/>
      <c r="K43" s="5"/>
      <c r="L43" s="8"/>
      <c r="M43" s="6"/>
      <c r="N43" s="8"/>
      <c r="O43" s="5"/>
      <c r="P43" s="8"/>
      <c r="Q43" s="6"/>
      <c r="R43" s="15"/>
      <c r="S43" s="10"/>
      <c r="T43" s="22"/>
      <c r="U43" s="10"/>
      <c r="V43" s="15"/>
      <c r="W43" s="10"/>
      <c r="X43" s="22"/>
      <c r="Y43" s="10"/>
    </row>
    <row r="44" spans="3:25" ht="15" thickBot="1" x14ac:dyDescent="0.35">
      <c r="C44" s="4" t="s">
        <v>30</v>
      </c>
      <c r="D44" s="8"/>
      <c r="E44" s="6"/>
      <c r="F44" s="8"/>
      <c r="G44" s="5"/>
      <c r="H44" s="8"/>
      <c r="I44" s="6"/>
      <c r="J44" s="8"/>
      <c r="K44" s="5"/>
      <c r="L44" s="8"/>
      <c r="M44" s="6"/>
      <c r="N44" s="8"/>
      <c r="O44" s="5"/>
      <c r="P44" s="8"/>
      <c r="Q44" s="6"/>
      <c r="R44" s="4"/>
      <c r="S44" s="8"/>
      <c r="T44" s="5"/>
      <c r="U44" s="8"/>
      <c r="V44" s="4"/>
      <c r="W44" s="8"/>
      <c r="X44" s="5"/>
      <c r="Y44" s="8"/>
    </row>
    <row r="45" spans="3:25" ht="15" thickBot="1" x14ac:dyDescent="0.35">
      <c r="C45" s="4" t="s">
        <v>32</v>
      </c>
      <c r="D45" s="8"/>
      <c r="E45" s="6"/>
      <c r="F45" s="8"/>
      <c r="G45" s="5"/>
      <c r="H45" s="8"/>
      <c r="I45" s="6"/>
      <c r="J45" s="8"/>
      <c r="K45" s="5"/>
      <c r="L45" s="8"/>
      <c r="M45" s="6"/>
      <c r="N45" s="8"/>
      <c r="O45" s="5"/>
      <c r="P45" s="8"/>
      <c r="Q45" s="6"/>
      <c r="R45" s="16"/>
      <c r="S45" s="11"/>
      <c r="T45" s="23"/>
      <c r="U45" s="11"/>
      <c r="V45" s="16"/>
      <c r="W45" s="11"/>
      <c r="X45" s="23"/>
      <c r="Y45" s="11"/>
    </row>
    <row r="46" spans="3:25" ht="15" thickBot="1" x14ac:dyDescent="0.35">
      <c r="C46" s="4" t="s">
        <v>31</v>
      </c>
      <c r="D46" s="8"/>
      <c r="E46" s="6"/>
      <c r="F46" s="8"/>
      <c r="G46" s="5"/>
      <c r="H46" s="8"/>
      <c r="I46" s="6"/>
      <c r="J46" s="8"/>
      <c r="K46" s="5"/>
      <c r="L46" s="8"/>
      <c r="M46" s="6"/>
      <c r="N46" s="8"/>
      <c r="O46" s="5"/>
      <c r="P46" s="8"/>
      <c r="Q46" s="6"/>
      <c r="R46" s="4"/>
      <c r="S46" s="8"/>
      <c r="T46" s="5"/>
      <c r="U46" s="8"/>
      <c r="V46" s="4"/>
      <c r="W46" s="8"/>
      <c r="X46" s="5"/>
      <c r="Y46" s="8"/>
    </row>
  </sheetData>
  <mergeCells count="13">
    <mergeCell ref="D6:F6"/>
    <mergeCell ref="V41:Y41"/>
    <mergeCell ref="D15:E15"/>
    <mergeCell ref="F15:I15"/>
    <mergeCell ref="V15:Y15"/>
    <mergeCell ref="R15:U15"/>
    <mergeCell ref="N15:Q15"/>
    <mergeCell ref="J15:M15"/>
    <mergeCell ref="D41:E41"/>
    <mergeCell ref="F41:I41"/>
    <mergeCell ref="J41:M41"/>
    <mergeCell ref="N41:Q41"/>
    <mergeCell ref="R41:U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</dc:creator>
  <cp:lastModifiedBy>Sebastian Sander</cp:lastModifiedBy>
  <cp:lastPrinted>2020-01-13T18:40:43Z</cp:lastPrinted>
  <dcterms:created xsi:type="dcterms:W3CDTF">2015-06-05T18:19:34Z</dcterms:created>
  <dcterms:modified xsi:type="dcterms:W3CDTF">2020-01-31T17:47:03Z</dcterms:modified>
</cp:coreProperties>
</file>